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autoCompressPictures="0"/>
  <mc:AlternateContent xmlns:mc="http://schemas.openxmlformats.org/markup-compatibility/2006">
    <mc:Choice Requires="x15">
      <x15ac:absPath xmlns:x15ac="http://schemas.microsoft.com/office/spreadsheetml/2010/11/ac" url="Z:\Quality\Regulatory Compliance\Conflict Minerals\RMI 6.01\"/>
    </mc:Choice>
  </mc:AlternateContent>
  <xr:revisionPtr revIDLastSave="0" documentId="13_ncr:1_{7CC7220C-DBCA-4629-BC7F-E4E4854BFC9B}"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8" i="5" l="1"/>
  <c r="B12" i="5" l="1"/>
  <c r="B13" i="5"/>
  <c r="B14" i="5"/>
  <c r="B15" i="5"/>
  <c r="B16" i="5"/>
  <c r="B17" i="5"/>
  <c r="B18" i="5"/>
  <c r="C20" i="5" l="1"/>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C387" i="5"/>
  <c r="V387" i="5" s="1"/>
  <c r="I387" i="5" s="1"/>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C231" i="5"/>
  <c r="V231" i="5" s="1"/>
  <c r="H231" i="5" s="1"/>
  <c r="B231" i="5"/>
  <c r="C230" i="5"/>
  <c r="V230" i="5" s="1"/>
  <c r="B230" i="5"/>
  <c r="S230" i="5" s="1"/>
  <c r="C229" i="5"/>
  <c r="V229" i="5" s="1"/>
  <c r="B229" i="5"/>
  <c r="C228" i="5"/>
  <c r="B228" i="5"/>
  <c r="C227" i="5"/>
  <c r="V227" i="5" s="1"/>
  <c r="B227" i="5"/>
  <c r="C226" i="5"/>
  <c r="V226" i="5" s="1"/>
  <c r="B226" i="5"/>
  <c r="T226" i="5" s="1"/>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S120" i="5"/>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C57" i="5"/>
  <c r="V57" i="5" s="1"/>
  <c r="B57" i="5"/>
  <c r="T57" i="5" s="1"/>
  <c r="C56" i="5"/>
  <c r="V56" i="5" s="1"/>
  <c r="R56" i="5" s="1"/>
  <c r="B56" i="5"/>
  <c r="T56" i="5" s="1"/>
  <c r="C55" i="5"/>
  <c r="V55" i="5" s="1"/>
  <c r="H55" i="5" s="1"/>
  <c r="B55" i="5"/>
  <c r="C54" i="5"/>
  <c r="V54" i="5" s="1"/>
  <c r="H54" i="5" s="1"/>
  <c r="B54" i="5"/>
  <c r="S54" i="5" s="1"/>
  <c r="C53" i="5"/>
  <c r="V53" i="5" s="1"/>
  <c r="R53" i="5" s="1"/>
  <c r="B53" i="5"/>
  <c r="T53" i="5" s="1"/>
  <c r="C52" i="5"/>
  <c r="V52" i="5" s="1"/>
  <c r="R52" i="5" s="1"/>
  <c r="B52" i="5"/>
  <c r="T52" i="5" s="1"/>
  <c r="C51" i="5"/>
  <c r="V51" i="5" s="1"/>
  <c r="B51" i="5"/>
  <c r="C50" i="5"/>
  <c r="V50" i="5" s="1"/>
  <c r="R50" i="5" s="1"/>
  <c r="B50" i="5"/>
  <c r="S50" i="5" s="1"/>
  <c r="C49" i="5"/>
  <c r="V49" i="5" s="1"/>
  <c r="R49" i="5" s="1"/>
  <c r="B49" i="5"/>
  <c r="T49" i="5" s="1"/>
  <c r="C48" i="5"/>
  <c r="V48" i="5" s="1"/>
  <c r="R48" i="5" s="1"/>
  <c r="B48" i="5"/>
  <c r="S48" i="5" s="1"/>
  <c r="C47" i="5"/>
  <c r="V47" i="5" s="1"/>
  <c r="B47" i="5"/>
  <c r="C46" i="5"/>
  <c r="V46" i="5" s="1"/>
  <c r="R46" i="5" s="1"/>
  <c r="B46" i="5"/>
  <c r="S46" i="5" s="1"/>
  <c r="C45" i="5"/>
  <c r="V45" i="5" s="1"/>
  <c r="R45" i="5" s="1"/>
  <c r="B45" i="5"/>
  <c r="T45" i="5" s="1"/>
  <c r="C44" i="5"/>
  <c r="V44" i="5" s="1"/>
  <c r="R44" i="5" s="1"/>
  <c r="B44" i="5"/>
  <c r="S44" i="5" s="1"/>
  <c r="C43" i="5"/>
  <c r="B43" i="5"/>
  <c r="C42" i="5"/>
  <c r="V42" i="5" s="1"/>
  <c r="E42" i="5" s="1"/>
  <c r="X42" i="5" s="1"/>
  <c r="B42" i="5"/>
  <c r="S42" i="5" s="1"/>
  <c r="C41" i="5"/>
  <c r="V41" i="5" s="1"/>
  <c r="B41" i="5"/>
  <c r="T41" i="5" s="1"/>
  <c r="C40" i="5"/>
  <c r="V40" i="5" s="1"/>
  <c r="R40" i="5" s="1"/>
  <c r="B40" i="5"/>
  <c r="T40" i="5" s="1"/>
  <c r="C39" i="5"/>
  <c r="V39" i="5" s="1"/>
  <c r="H39" i="5" s="1"/>
  <c r="B39" i="5"/>
  <c r="C38" i="5"/>
  <c r="V38" i="5" s="1"/>
  <c r="H38" i="5" s="1"/>
  <c r="B38" i="5"/>
  <c r="S38" i="5" s="1"/>
  <c r="V37" i="5"/>
  <c r="R37" i="5" s="1"/>
  <c r="C37" i="5"/>
  <c r="B37" i="5"/>
  <c r="T37" i="5" s="1"/>
  <c r="C36" i="5"/>
  <c r="V36" i="5" s="1"/>
  <c r="R36" i="5" s="1"/>
  <c r="B36" i="5"/>
  <c r="T36" i="5" s="1"/>
  <c r="C35" i="5"/>
  <c r="V35" i="5" s="1"/>
  <c r="B35" i="5"/>
  <c r="C34" i="5"/>
  <c r="V34" i="5" s="1"/>
  <c r="R34" i="5" s="1"/>
  <c r="B34" i="5"/>
  <c r="S34" i="5" s="1"/>
  <c r="C33" i="5"/>
  <c r="V33" i="5" s="1"/>
  <c r="R33" i="5" s="1"/>
  <c r="B33" i="5"/>
  <c r="T33" i="5" s="1"/>
  <c r="C32" i="5"/>
  <c r="V32" i="5" s="1"/>
  <c r="R32" i="5" s="1"/>
  <c r="B32" i="5"/>
  <c r="C31" i="5"/>
  <c r="V31" i="5" s="1"/>
  <c r="B31" i="5"/>
  <c r="C30" i="5"/>
  <c r="V30" i="5" s="1"/>
  <c r="I30" i="5" s="1"/>
  <c r="B30" i="5"/>
  <c r="C29" i="5"/>
  <c r="V29" i="5" s="1"/>
  <c r="H29" i="5" s="1"/>
  <c r="B29" i="5"/>
  <c r="C28" i="5"/>
  <c r="V28" i="5" s="1"/>
  <c r="E28" i="5" s="1"/>
  <c r="B28" i="5"/>
  <c r="T28" i="5" s="1"/>
  <c r="C27" i="5"/>
  <c r="V27" i="5" s="1"/>
  <c r="B27" i="5"/>
  <c r="C26" i="5"/>
  <c r="V26" i="5" s="1"/>
  <c r="I26" i="5" s="1"/>
  <c r="B26" i="5"/>
  <c r="T26" i="5" s="1"/>
  <c r="C25" i="5"/>
  <c r="V25" i="5" s="1"/>
  <c r="B25" i="5"/>
  <c r="C24" i="5"/>
  <c r="V24" i="5" s="1"/>
  <c r="R24" i="5" s="1"/>
  <c r="B24" i="5"/>
  <c r="C23" i="5"/>
  <c r="V23" i="5" s="1"/>
  <c r="H23" i="5" s="1"/>
  <c r="B23" i="5"/>
  <c r="C22" i="5"/>
  <c r="V22" i="5" s="1"/>
  <c r="I22" i="5" s="1"/>
  <c r="B22" i="5"/>
  <c r="S22" i="5" s="1"/>
  <c r="C21" i="5"/>
  <c r="V21" i="5" s="1"/>
  <c r="B21" i="5"/>
  <c r="V20" i="5"/>
  <c r="R20" i="5" s="1"/>
  <c r="B20" i="5"/>
  <c r="T20" i="5" s="1"/>
  <c r="C19" i="5"/>
  <c r="V19" i="5" s="1"/>
  <c r="B19" i="5"/>
  <c r="T19" i="5" s="1"/>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90" i="5" l="1"/>
  <c r="AB299" i="5"/>
  <c r="AB324" i="5"/>
  <c r="AB579" i="5"/>
  <c r="S1000" i="5"/>
  <c r="AB1115" i="5"/>
  <c r="AB1293" i="5"/>
  <c r="AB1353" i="5"/>
  <c r="AB1401" i="5"/>
  <c r="E1479" i="5"/>
  <c r="X1479" i="5" s="1"/>
  <c r="AB1624" i="5"/>
  <c r="T2248" i="5"/>
  <c r="T2317" i="5"/>
  <c r="AB2465" i="5"/>
  <c r="T391" i="5"/>
  <c r="G681" i="5"/>
  <c r="AB720" i="5"/>
  <c r="S903" i="5"/>
  <c r="T1078" i="5"/>
  <c r="T1407" i="5"/>
  <c r="S1465" i="5"/>
  <c r="S1491" i="5"/>
  <c r="T1624" i="5"/>
  <c r="T1675" i="5"/>
  <c r="S1748" i="5"/>
  <c r="AB1757" i="5"/>
  <c r="T1883" i="5"/>
  <c r="S2068" i="5"/>
  <c r="T2133" i="5"/>
  <c r="S2428" i="5"/>
  <c r="AB488" i="5"/>
  <c r="S515" i="5"/>
  <c r="G550" i="5"/>
  <c r="T585" i="5"/>
  <c r="AB643" i="5"/>
  <c r="S858" i="5"/>
  <c r="AB902" i="5"/>
  <c r="AB1071" i="5"/>
  <c r="T1098" i="5"/>
  <c r="AB1140" i="5"/>
  <c r="S1398" i="5"/>
  <c r="AB1566" i="5"/>
  <c r="AB1594" i="5"/>
  <c r="AB1672" i="5"/>
  <c r="S1754" i="5"/>
  <c r="AB1814" i="5"/>
  <c r="AB2069" i="5"/>
  <c r="AB2073" i="5"/>
  <c r="T2188" i="5"/>
  <c r="T4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T48" i="5"/>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S28" i="5"/>
  <c r="I38" i="5"/>
  <c r="E46" i="5"/>
  <c r="X46" i="5" s="1"/>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F1681" i="5" s="1"/>
  <c r="AB1681" i="5"/>
  <c r="T1715" i="5"/>
  <c r="S1715" i="5"/>
  <c r="R1898" i="5"/>
  <c r="J1898" i="5"/>
  <c r="G1987" i="5"/>
  <c r="F1987" i="5"/>
  <c r="I2005" i="5"/>
  <c r="R2005" i="5"/>
  <c r="S2129" i="5"/>
  <c r="T2129" i="5"/>
  <c r="R2150" i="5"/>
  <c r="H2150" i="5"/>
  <c r="G676" i="5"/>
  <c r="G32"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T144" i="5"/>
  <c r="S144" i="5"/>
  <c r="T320" i="5"/>
  <c r="S320" i="5"/>
  <c r="V330" i="5"/>
  <c r="G330" i="5" s="1"/>
  <c r="T895" i="5"/>
  <c r="AB895" i="5"/>
  <c r="S895" i="5"/>
  <c r="AB1863" i="5"/>
  <c r="T1863" i="5"/>
  <c r="S1863" i="5"/>
  <c r="R54"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E26" i="5"/>
  <c r="X26" i="5" s="1"/>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V43" i="5"/>
  <c r="F43" i="5" s="1"/>
  <c r="R22" i="5"/>
  <c r="G38" i="5"/>
  <c r="S40" i="5"/>
  <c r="G55"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S26"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S20" i="5"/>
  <c r="G48" i="5"/>
  <c r="G74" i="5"/>
  <c r="G86" i="5"/>
  <c r="J107" i="5"/>
  <c r="S178" i="5"/>
  <c r="AB178" i="5"/>
  <c r="T178" i="5"/>
  <c r="V215" i="5"/>
  <c r="G215" i="5" s="1"/>
  <c r="R299" i="5"/>
  <c r="J299" i="5"/>
  <c r="T312" i="5"/>
  <c r="S312" i="5"/>
  <c r="T379" i="5"/>
  <c r="S379" i="5"/>
  <c r="E392" i="5"/>
  <c r="X392" i="5" s="1"/>
  <c r="I392" i="5"/>
  <c r="H392" i="5"/>
  <c r="E62" i="5"/>
  <c r="X62" i="5" s="1"/>
  <c r="S110" i="5"/>
  <c r="AB110" i="5"/>
  <c r="R30" i="5"/>
  <c r="G54"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I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R1640" i="5" s="1"/>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G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X249" i="5" s="1"/>
  <c r="F249" i="5"/>
  <c r="J29" i="5"/>
  <c r="I37" i="5"/>
  <c r="R39" i="5"/>
  <c r="I53" i="5"/>
  <c r="R55"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E34" i="5"/>
  <c r="X34" i="5" s="1"/>
  <c r="G36" i="5"/>
  <c r="R42" i="5"/>
  <c r="H46" i="5"/>
  <c r="H62" i="5"/>
  <c r="G35" i="5"/>
  <c r="E45" i="5"/>
  <c r="X45" i="5" s="1"/>
  <c r="J47" i="5"/>
  <c r="G50" i="5"/>
  <c r="G51" i="5"/>
  <c r="S52" i="5"/>
  <c r="E55" i="5"/>
  <c r="X55" i="5" s="1"/>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X50" i="5" s="1"/>
  <c r="G52" i="5"/>
  <c r="R58" i="5"/>
  <c r="E23" i="5"/>
  <c r="X23" i="5" s="1"/>
  <c r="G24" i="5"/>
  <c r="J25" i="5"/>
  <c r="AB26" i="5"/>
  <c r="G31" i="5"/>
  <c r="G34" i="5"/>
  <c r="S36" i="5"/>
  <c r="E39" i="5"/>
  <c r="X39" i="5" s="1"/>
  <c r="I46" i="5"/>
  <c r="AB22" i="5"/>
  <c r="F23" i="5"/>
  <c r="I24" i="5"/>
  <c r="R25" i="5"/>
  <c r="G30" i="5"/>
  <c r="H34" i="5"/>
  <c r="E38" i="5"/>
  <c r="X38" i="5" s="1"/>
  <c r="F39" i="5"/>
  <c r="G40" i="5"/>
  <c r="I45" i="5"/>
  <c r="R47" i="5"/>
  <c r="H50" i="5"/>
  <c r="E54" i="5"/>
  <c r="X54" i="5" s="1"/>
  <c r="F55" i="5"/>
  <c r="G56"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E175" i="5"/>
  <c r="X175" i="5" s="1"/>
  <c r="F179" i="5"/>
  <c r="AB188" i="5"/>
  <c r="AB192" i="5"/>
  <c r="T198" i="5"/>
  <c r="AB206" i="5"/>
  <c r="AB214" i="5"/>
  <c r="T217" i="5"/>
  <c r="S226" i="5"/>
  <c r="AB226" i="5"/>
  <c r="E231" i="5"/>
  <c r="X231" i="5" s="1"/>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S56" i="5"/>
  <c r="I98" i="5"/>
  <c r="F103" i="5"/>
  <c r="F111" i="5"/>
  <c r="AB134" i="5"/>
  <c r="F137" i="5"/>
  <c r="T138" i="5"/>
  <c r="F141" i="5"/>
  <c r="AB142" i="5"/>
  <c r="E145" i="5"/>
  <c r="X145" i="5" s="1"/>
  <c r="T154" i="5"/>
  <c r="T158" i="5"/>
  <c r="E161" i="5"/>
  <c r="X161" i="5" s="1"/>
  <c r="F167" i="5"/>
  <c r="F175"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G23" i="5"/>
  <c r="E33" i="5"/>
  <c r="X33" i="5" s="1"/>
  <c r="I34" i="5"/>
  <c r="G39" i="5"/>
  <c r="E49" i="5"/>
  <c r="X49" i="5" s="1"/>
  <c r="I50" i="5"/>
  <c r="E65" i="5"/>
  <c r="X65" i="5" s="1"/>
  <c r="I66" i="5"/>
  <c r="S72" i="5"/>
  <c r="E81" i="5"/>
  <c r="X81" i="5" s="1"/>
  <c r="I82" i="5"/>
  <c r="S88" i="5"/>
  <c r="G22" i="5"/>
  <c r="I23" i="5"/>
  <c r="S30" i="5"/>
  <c r="I33" i="5"/>
  <c r="I39" i="5"/>
  <c r="G44" i="5"/>
  <c r="I49" i="5"/>
  <c r="I55" i="5"/>
  <c r="F59" i="5"/>
  <c r="G60" i="5"/>
  <c r="I65" i="5"/>
  <c r="F75" i="5"/>
  <c r="G76" i="5"/>
  <c r="I81" i="5"/>
  <c r="F9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J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J23" i="5"/>
  <c r="AB32" i="5"/>
  <c r="E37" i="5"/>
  <c r="X37" i="5" s="1"/>
  <c r="J39" i="5"/>
  <c r="E53" i="5"/>
  <c r="X53" i="5" s="1"/>
  <c r="J55" i="5"/>
  <c r="E69" i="5"/>
  <c r="X69" i="5" s="1"/>
  <c r="E85" i="5"/>
  <c r="X85" i="5" s="1"/>
  <c r="G90" i="5"/>
  <c r="E95" i="5"/>
  <c r="X95" i="5" s="1"/>
  <c r="R101" i="5"/>
  <c r="I103" i="5"/>
  <c r="H110" i="5"/>
  <c r="I111" i="5"/>
  <c r="T114" i="5"/>
  <c r="J115" i="5"/>
  <c r="R145" i="5"/>
  <c r="E147" i="5"/>
  <c r="X147" i="5" s="1"/>
  <c r="G153" i="5"/>
  <c r="AB162" i="5"/>
  <c r="R165" i="5"/>
  <c r="I167" i="5"/>
  <c r="I175"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V1131" i="5"/>
  <c r="G1131" i="5" s="1"/>
  <c r="V1149" i="5"/>
  <c r="I1149" i="5" s="1"/>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J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R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I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R1071" i="5" s="1"/>
  <c r="E1099" i="5"/>
  <c r="X1099" i="5" s="1"/>
  <c r="H1099" i="5"/>
  <c r="V1115" i="5"/>
  <c r="G1115" i="5" s="1"/>
  <c r="H1173" i="5"/>
  <c r="AB1185" i="5"/>
  <c r="H1189" i="5"/>
  <c r="F1189" i="5"/>
  <c r="R1197" i="5"/>
  <c r="H1197" i="5"/>
  <c r="F1197" i="5"/>
  <c r="E1197" i="5"/>
  <c r="X1197" i="5" s="1"/>
  <c r="V1204" i="5"/>
  <c r="J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E1297" i="5" s="1"/>
  <c r="X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J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J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57" i="5"/>
  <c r="X2257" i="5" s="1"/>
  <c r="E2261" i="5"/>
  <c r="X2261" i="5" s="1"/>
  <c r="S2270" i="5"/>
  <c r="AB2277" i="5"/>
  <c r="AB2293" i="5"/>
  <c r="V2293" i="5"/>
  <c r="J2293" i="5" s="1"/>
  <c r="S2296" i="5"/>
  <c r="I2303" i="5"/>
  <c r="F2309" i="5"/>
  <c r="V2310" i="5"/>
  <c r="E2310" i="5" s="1"/>
  <c r="X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J2480" i="5" s="1"/>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S18" i="5" s="1"/>
  <c r="F19" i="6"/>
  <c r="X341" i="5"/>
  <c r="X304" i="5"/>
  <c r="AB23" i="5"/>
  <c r="S23" i="5"/>
  <c r="X28"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I19" i="5"/>
  <c r="E20" i="5"/>
  <c r="X20" i="5" s="1"/>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F18" i="5"/>
  <c r="J18" i="5"/>
  <c r="T18" i="5" s="1"/>
  <c r="G20" i="5"/>
  <c r="S21" i="5"/>
  <c r="AB21" i="5"/>
  <c r="T21" i="5"/>
  <c r="S24" i="5"/>
  <c r="F26" i="5"/>
  <c r="J26" i="5"/>
  <c r="G28" i="5"/>
  <c r="S29" i="5"/>
  <c r="AB29" i="5"/>
  <c r="T29" i="5"/>
  <c r="S32" i="5"/>
  <c r="G33" i="5"/>
  <c r="AB35" i="5"/>
  <c r="S35" i="5"/>
  <c r="T35" i="5"/>
  <c r="G37" i="5"/>
  <c r="AB39" i="5"/>
  <c r="S39" i="5"/>
  <c r="T39" i="5"/>
  <c r="G41" i="5"/>
  <c r="AB43" i="5"/>
  <c r="S43" i="5"/>
  <c r="T43" i="5"/>
  <c r="G45" i="5"/>
  <c r="AB47" i="5"/>
  <c r="S47" i="5"/>
  <c r="T47" i="5"/>
  <c r="G49" i="5"/>
  <c r="AB51" i="5"/>
  <c r="S51" i="5"/>
  <c r="T51" i="5"/>
  <c r="G53" i="5"/>
  <c r="AB55" i="5"/>
  <c r="S55" i="5"/>
  <c r="T55" i="5"/>
  <c r="G57"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T23" i="5"/>
  <c r="T32"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T24" i="5"/>
  <c r="H28" i="5"/>
  <c r="S109" i="5"/>
  <c r="AB109" i="5"/>
  <c r="E117" i="5"/>
  <c r="X117" i="5" s="1"/>
  <c r="J121" i="5"/>
  <c r="I121" i="5"/>
  <c r="H121" i="5"/>
  <c r="S141" i="5"/>
  <c r="AB141" i="5"/>
  <c r="H146" i="5"/>
  <c r="F150" i="5"/>
  <c r="R150" i="5"/>
  <c r="J150" i="5"/>
  <c r="AB19" i="5"/>
  <c r="S19" i="5"/>
  <c r="E21" i="5"/>
  <c r="X21" i="5" s="1"/>
  <c r="AB27" i="5"/>
  <c r="S27" i="5"/>
  <c r="T27" i="5"/>
  <c r="E29" i="5"/>
  <c r="X29" i="5" s="1"/>
  <c r="H18" i="5"/>
  <c r="F21" i="5"/>
  <c r="T22" i="5"/>
  <c r="E24" i="5"/>
  <c r="X24" i="5" s="1"/>
  <c r="H26" i="5"/>
  <c r="R28" i="5"/>
  <c r="F29" i="5"/>
  <c r="T30" i="5"/>
  <c r="E32" i="5"/>
  <c r="X32" i="5" s="1"/>
  <c r="AB36" i="5"/>
  <c r="AB40" i="5"/>
  <c r="AB44" i="5"/>
  <c r="AB48" i="5"/>
  <c r="AB52" i="5"/>
  <c r="AB56"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J20" i="5"/>
  <c r="F20" i="5"/>
  <c r="AB31" i="5"/>
  <c r="S31" i="5"/>
  <c r="F22" i="5"/>
  <c r="J22" i="5"/>
  <c r="S25" i="5"/>
  <c r="AB25" i="5"/>
  <c r="T25" i="5"/>
  <c r="G29" i="5"/>
  <c r="J33" i="5"/>
  <c r="H33" i="5"/>
  <c r="S37" i="5"/>
  <c r="AB37" i="5"/>
  <c r="J40" i="5"/>
  <c r="H40" i="5"/>
  <c r="F40" i="5"/>
  <c r="J41" i="5"/>
  <c r="H41" i="5"/>
  <c r="S45" i="5"/>
  <c r="AB45" i="5"/>
  <c r="J48" i="5"/>
  <c r="H48" i="5"/>
  <c r="F48" i="5"/>
  <c r="J49" i="5"/>
  <c r="H49" i="5"/>
  <c r="S53" i="5"/>
  <c r="AB53" i="5"/>
  <c r="J53" i="5"/>
  <c r="H53" i="5"/>
  <c r="S57" i="5"/>
  <c r="AB57" i="5"/>
  <c r="J57" i="5"/>
  <c r="H57" i="5"/>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T31" i="5"/>
  <c r="G21" i="5"/>
  <c r="F30" i="5"/>
  <c r="J30" i="5"/>
  <c r="S33" i="5"/>
  <c r="AB33" i="5"/>
  <c r="J36" i="5"/>
  <c r="H36" i="5"/>
  <c r="F36" i="5"/>
  <c r="J37" i="5"/>
  <c r="H37" i="5"/>
  <c r="S41" i="5"/>
  <c r="AB41" i="5"/>
  <c r="J44" i="5"/>
  <c r="H44" i="5"/>
  <c r="F44" i="5"/>
  <c r="J45" i="5"/>
  <c r="H45" i="5"/>
  <c r="S49" i="5"/>
  <c r="AB49" i="5"/>
  <c r="J52" i="5"/>
  <c r="H52" i="5"/>
  <c r="F52" i="5"/>
  <c r="J56" i="5"/>
  <c r="H56" i="5"/>
  <c r="F56"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R18" i="5"/>
  <c r="F19" i="5"/>
  <c r="I21" i="5"/>
  <c r="E22" i="5"/>
  <c r="X22" i="5" s="1"/>
  <c r="R23" i="5"/>
  <c r="H24" i="5"/>
  <c r="R26" i="5"/>
  <c r="F27" i="5"/>
  <c r="I29" i="5"/>
  <c r="E30" i="5"/>
  <c r="X30" i="5" s="1"/>
  <c r="R31" i="5"/>
  <c r="H32" i="5"/>
  <c r="T34" i="5"/>
  <c r="E36" i="5"/>
  <c r="X36" i="5" s="1"/>
  <c r="T38" i="5"/>
  <c r="E40" i="5"/>
  <c r="X40" i="5" s="1"/>
  <c r="T42" i="5"/>
  <c r="E44" i="5"/>
  <c r="X44" i="5" s="1"/>
  <c r="T46" i="5"/>
  <c r="E48" i="5"/>
  <c r="X48" i="5" s="1"/>
  <c r="T50" i="5"/>
  <c r="E52" i="5"/>
  <c r="X52" i="5" s="1"/>
  <c r="T54" i="5"/>
  <c r="E56" i="5"/>
  <c r="X56" i="5" s="1"/>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J201"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I261" i="5"/>
  <c r="T263"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1"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J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H775" i="5"/>
  <c r="H785" i="5"/>
  <c r="F785" i="5"/>
  <c r="E785" i="5"/>
  <c r="X785" i="5" s="1"/>
  <c r="J785" i="5"/>
  <c r="I785" i="5"/>
  <c r="J791" i="5"/>
  <c r="I791" i="5"/>
  <c r="H791" i="5"/>
  <c r="F791" i="5"/>
  <c r="E791" i="5"/>
  <c r="X791" i="5" s="1"/>
  <c r="H799" i="5"/>
  <c r="H680"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I680" i="5"/>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I650" i="5"/>
  <c r="J680"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6" i="5"/>
  <c r="J610" i="5"/>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J851" i="5"/>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J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V1174" i="5"/>
  <c r="T1187" i="5"/>
  <c r="G1199"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G1082" i="5"/>
  <c r="I1083" i="5"/>
  <c r="I1087" i="5"/>
  <c r="G1090" i="5"/>
  <c r="I1091" i="5"/>
  <c r="G1094" i="5"/>
  <c r="I1095" i="5"/>
  <c r="G1098" i="5"/>
  <c r="I1099" i="5"/>
  <c r="G1102" i="5"/>
  <c r="I1103" i="5"/>
  <c r="G1106" i="5"/>
  <c r="G1110" i="5"/>
  <c r="I1111" i="5"/>
  <c r="G1114" i="5"/>
  <c r="G1118" i="5"/>
  <c r="I1119" i="5"/>
  <c r="G1122" i="5"/>
  <c r="I1127" i="5"/>
  <c r="G1130" i="5"/>
  <c r="AB1135" i="5"/>
  <c r="R1136" i="5"/>
  <c r="G1139" i="5"/>
  <c r="AB1142" i="5"/>
  <c r="R1143" i="5"/>
  <c r="V1146" i="5"/>
  <c r="G1146" i="5" s="1"/>
  <c r="I1147"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9" i="5"/>
  <c r="R1023" i="5"/>
  <c r="R1027" i="5"/>
  <c r="R1031" i="5"/>
  <c r="R1039" i="5"/>
  <c r="R1043" i="5"/>
  <c r="R1047" i="5"/>
  <c r="R1051" i="5"/>
  <c r="R1059" i="5"/>
  <c r="R1063" i="5"/>
  <c r="R1067" i="5"/>
  <c r="R1075" i="5"/>
  <c r="R1083" i="5"/>
  <c r="R1087" i="5"/>
  <c r="R1091" i="5"/>
  <c r="R1099" i="5"/>
  <c r="R1103" i="5"/>
  <c r="R1111" i="5"/>
  <c r="R1119"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R1253" i="5"/>
  <c r="E1257" i="5"/>
  <c r="X1257" i="5" s="1"/>
  <c r="R1257" i="5"/>
  <c r="E1261" i="5"/>
  <c r="X1261" i="5" s="1"/>
  <c r="R1261" i="5"/>
  <c r="E1265" i="5"/>
  <c r="X1265" i="5" s="1"/>
  <c r="R1265" i="5"/>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H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H1492" i="5"/>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I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R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I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20" i="5"/>
  <c r="R2024" i="5"/>
  <c r="R2028" i="5"/>
  <c r="R2032" i="5"/>
  <c r="R2036" i="5"/>
  <c r="R2040" i="5"/>
  <c r="R2044" i="5"/>
  <c r="R2048" i="5"/>
  <c r="V2052" i="5"/>
  <c r="I2053" i="5"/>
  <c r="T2055" i="5"/>
  <c r="V2060" i="5"/>
  <c r="I2061" i="5"/>
  <c r="T2063" i="5"/>
  <c r="V2068" i="5"/>
  <c r="I2069"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F2301" i="5"/>
  <c r="E2303" i="5"/>
  <c r="X2303" i="5" s="1"/>
  <c r="R2303" i="5"/>
  <c r="H2306" i="5"/>
  <c r="H2308"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H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B10" i="5" l="1"/>
  <c r="B11" i="5"/>
  <c r="B8" i="5"/>
  <c r="B9" i="5"/>
  <c r="B7" i="5"/>
  <c r="C7" i="5"/>
  <c r="B6" i="5"/>
  <c r="C6" i="5"/>
  <c r="C5" i="5"/>
  <c r="B5" i="5"/>
  <c r="C11" i="6"/>
  <c r="C7" i="6"/>
  <c r="C12" i="6"/>
  <c r="C8" i="6"/>
  <c r="C10" i="6"/>
  <c r="C9" i="6"/>
  <c r="F2480" i="5"/>
  <c r="I2480" i="5"/>
  <c r="E2386" i="5"/>
  <c r="X2386" i="5" s="1"/>
  <c r="H2310" i="5"/>
  <c r="I2293" i="5"/>
  <c r="J2318" i="5"/>
  <c r="E2016" i="5"/>
  <c r="X2016" i="5" s="1"/>
  <c r="J1967" i="5"/>
  <c r="H1859" i="5"/>
  <c r="E1859" i="5"/>
  <c r="X1859" i="5" s="1"/>
  <c r="G1735" i="5"/>
  <c r="J1724" i="5"/>
  <c r="I1492" i="5"/>
  <c r="I1640" i="5"/>
  <c r="E1508" i="5"/>
  <c r="X1508" i="5" s="1"/>
  <c r="E1381" i="5"/>
  <c r="X1381" i="5" s="1"/>
  <c r="E1309" i="5"/>
  <c r="X1309" i="5" s="1"/>
  <c r="E1269" i="5"/>
  <c r="X1269" i="5" s="1"/>
  <c r="E1253" i="5"/>
  <c r="X1253" i="5" s="1"/>
  <c r="H1222" i="5"/>
  <c r="E1198" i="5"/>
  <c r="X1198" i="5" s="1"/>
  <c r="G1352" i="5"/>
  <c r="R1123" i="5"/>
  <c r="R1079" i="5"/>
  <c r="J1339" i="5"/>
  <c r="G1204" i="5"/>
  <c r="G1126" i="5"/>
  <c r="I1079" i="5"/>
  <c r="I1126" i="5"/>
  <c r="I1204" i="5"/>
  <c r="R1149" i="5"/>
  <c r="G856" i="5"/>
  <c r="F872" i="5"/>
  <c r="F856" i="5"/>
  <c r="R851" i="5"/>
  <c r="E717" i="5"/>
  <c r="X717" i="5" s="1"/>
  <c r="H602" i="5"/>
  <c r="H696" i="5"/>
  <c r="I799" i="5"/>
  <c r="I775" i="5"/>
  <c r="H578" i="5"/>
  <c r="R403" i="5"/>
  <c r="I265" i="5"/>
  <c r="F2189" i="5"/>
  <c r="F1735" i="5"/>
  <c r="R1735" i="5"/>
  <c r="G1123" i="5"/>
  <c r="E678" i="5"/>
  <c r="X678" i="5" s="1"/>
  <c r="H1681" i="5"/>
  <c r="E265" i="5"/>
  <c r="X265" i="5" s="1"/>
  <c r="G2480" i="5"/>
  <c r="R2480" i="5"/>
  <c r="R2310" i="5"/>
  <c r="E2293" i="5"/>
  <c r="X2293" i="5" s="1"/>
  <c r="R2293" i="5"/>
  <c r="R2318" i="5"/>
  <c r="F2310" i="5"/>
  <c r="R2016" i="5"/>
  <c r="R1967" i="5"/>
  <c r="R2011" i="5"/>
  <c r="I1859" i="5"/>
  <c r="H1786" i="5"/>
  <c r="R1724" i="5"/>
  <c r="E1492" i="5"/>
  <c r="X1492" i="5" s="1"/>
  <c r="F1640" i="5"/>
  <c r="J1640" i="5"/>
  <c r="F1508" i="5"/>
  <c r="R1297" i="5"/>
  <c r="I1352" i="5"/>
  <c r="F1198" i="5"/>
  <c r="R1339" i="5"/>
  <c r="H1297" i="5"/>
  <c r="G1149" i="5"/>
  <c r="G1133" i="5"/>
  <c r="I1015" i="5"/>
  <c r="J1126" i="5"/>
  <c r="E1149" i="5"/>
  <c r="X1149" i="5" s="1"/>
  <c r="I1133" i="5"/>
  <c r="I943" i="5"/>
  <c r="G943" i="5"/>
  <c r="G851" i="5"/>
  <c r="R872" i="5"/>
  <c r="R856" i="5"/>
  <c r="E851" i="5"/>
  <c r="X851" i="5" s="1"/>
  <c r="H856" i="5"/>
  <c r="G696" i="5"/>
  <c r="F717" i="5"/>
  <c r="J696" i="5"/>
  <c r="I678" i="5"/>
  <c r="R775" i="5"/>
  <c r="H678" i="5"/>
  <c r="E799" i="5"/>
  <c r="X799" i="5" s="1"/>
  <c r="J799" i="5"/>
  <c r="E775" i="5"/>
  <c r="X775" i="5" s="1"/>
  <c r="J775" i="5"/>
  <c r="F678" i="5"/>
  <c r="I578" i="5"/>
  <c r="E403" i="5"/>
  <c r="X403" i="5" s="1"/>
  <c r="H265" i="5"/>
  <c r="J1492" i="5"/>
  <c r="H1735" i="5"/>
  <c r="E1126" i="5"/>
  <c r="X1126" i="5" s="1"/>
  <c r="J872" i="5"/>
  <c r="H2289" i="5"/>
  <c r="E1681" i="5"/>
  <c r="X1681" i="5" s="1"/>
  <c r="B32" i="6"/>
  <c r="F2293" i="5"/>
  <c r="E2318" i="5"/>
  <c r="X2318" i="5" s="1"/>
  <c r="J2077" i="5"/>
  <c r="I2077" i="5"/>
  <c r="H1967" i="5"/>
  <c r="E1967" i="5"/>
  <c r="X1967" i="5" s="1"/>
  <c r="E2011" i="5"/>
  <c r="X2011" i="5" s="1"/>
  <c r="J1859" i="5"/>
  <c r="R1681" i="5"/>
  <c r="F1786" i="5"/>
  <c r="J1681" i="5"/>
  <c r="H1724" i="5"/>
  <c r="E1724" i="5"/>
  <c r="X1724" i="5" s="1"/>
  <c r="F1492" i="5"/>
  <c r="G1640" i="5"/>
  <c r="E1222" i="5"/>
  <c r="X1222" i="5" s="1"/>
  <c r="R1015" i="5"/>
  <c r="E1339" i="5"/>
  <c r="X1339" i="5" s="1"/>
  <c r="R1126" i="5"/>
  <c r="E872" i="5"/>
  <c r="X872" i="5" s="1"/>
  <c r="E856" i="5"/>
  <c r="X856" i="5" s="1"/>
  <c r="J678" i="5"/>
  <c r="J602" i="5"/>
  <c r="I602" i="5"/>
  <c r="I696" i="5"/>
  <c r="F799" i="5"/>
  <c r="R799" i="5"/>
  <c r="F775" i="5"/>
  <c r="E602" i="5"/>
  <c r="X602" i="5" s="1"/>
  <c r="J578" i="5"/>
  <c r="H403" i="5"/>
  <c r="J265" i="5"/>
  <c r="F1309" i="5"/>
  <c r="F265" i="5"/>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X43" i="5" s="1"/>
  <c r="J43" i="5"/>
  <c r="R43" i="5"/>
  <c r="H91" i="5"/>
  <c r="R91" i="5"/>
  <c r="E91" i="5"/>
  <c r="X91" i="5" s="1"/>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F46" i="6" s="1"/>
  <c r="X18" i="5"/>
  <c r="B52" i="6"/>
  <c r="G52" i="6" s="1"/>
  <c r="B37" i="6"/>
  <c r="G37" i="6" s="1"/>
  <c r="B42" i="6"/>
  <c r="G42" i="6" s="1"/>
  <c r="B40" i="6"/>
  <c r="G40" i="6" s="1"/>
  <c r="B50" i="6"/>
  <c r="G50" i="6" s="1"/>
  <c r="B25" i="6"/>
  <c r="G25" i="6" s="1"/>
  <c r="H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41" i="6"/>
  <c r="J2479" i="5"/>
  <c r="I2479" i="5"/>
  <c r="E2479" i="5"/>
  <c r="X2479" i="5" s="1"/>
  <c r="R2479" i="5"/>
  <c r="H2479" i="5"/>
  <c r="G2479" i="5"/>
  <c r="F2479" i="5"/>
  <c r="F45" i="6"/>
  <c r="H45" i="6" s="1"/>
  <c r="D45" i="6" s="1"/>
  <c r="F66" i="6"/>
  <c r="F50" i="6"/>
  <c r="F30" i="6"/>
  <c r="F35" i="6"/>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V6" i="5" l="1"/>
  <c r="G6" i="5" s="1"/>
  <c r="AB6" i="5"/>
  <c r="AB5" i="5"/>
  <c r="V5" i="5"/>
  <c r="G5" i="5" s="1"/>
  <c r="H41" i="6"/>
  <c r="D41" i="6" s="1"/>
  <c r="H35" i="6"/>
  <c r="D35" i="6" s="1"/>
  <c r="F54" i="6"/>
  <c r="F62" i="6" s="1"/>
  <c r="H62" i="6" s="1"/>
  <c r="F51" i="6"/>
  <c r="H51" i="6" s="1"/>
  <c r="D51" i="6" s="1"/>
  <c r="F31" i="6"/>
  <c r="H31" i="6" s="1"/>
  <c r="C31" i="6" s="1"/>
  <c r="F36" i="6"/>
  <c r="H36" i="6" s="1"/>
  <c r="D36" i="6" s="1"/>
  <c r="F67" i="6"/>
  <c r="H26" i="6"/>
  <c r="C26" i="6" s="1"/>
  <c r="H50" i="6"/>
  <c r="D50" i="6" s="1"/>
  <c r="H46" i="6"/>
  <c r="D46"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D19" i="6"/>
  <c r="C19" i="6"/>
  <c r="K65" i="6"/>
  <c r="D24" i="6"/>
  <c r="C24" i="6"/>
  <c r="X100" i="5"/>
  <c r="D27" i="6"/>
  <c r="C27" i="6"/>
  <c r="C36" i="6"/>
  <c r="C42" i="6"/>
  <c r="C40" i="6"/>
  <c r="C41" i="6"/>
  <c r="C20" i="6"/>
  <c r="D20" i="6"/>
  <c r="C2" i="6"/>
  <c r="B2" i="6"/>
  <c r="C35" i="6"/>
  <c r="F58" i="6"/>
  <c r="H58" i="6" s="1"/>
  <c r="F55" i="6"/>
  <c r="C37" i="6"/>
  <c r="D25" i="6"/>
  <c r="C25" i="6"/>
  <c r="D26" i="6"/>
  <c r="D21" i="6"/>
  <c r="C21" i="6"/>
  <c r="C39" i="6"/>
  <c r="D22" i="6"/>
  <c r="C22" i="6"/>
  <c r="H47" i="6"/>
  <c r="D47" i="6" s="1"/>
  <c r="C52" i="6"/>
  <c r="C50" i="6"/>
  <c r="C44" i="6"/>
  <c r="G68" i="6" l="1"/>
  <c r="H68" i="6" s="1"/>
  <c r="D68" i="6" s="1"/>
  <c r="R6" i="5"/>
  <c r="H6" i="5"/>
  <c r="I6" i="5"/>
  <c r="F6" i="5"/>
  <c r="J6" i="5"/>
  <c r="E6" i="5"/>
  <c r="H5" i="5"/>
  <c r="J5" i="5"/>
  <c r="R5" i="5"/>
  <c r="E5" i="5"/>
  <c r="I5" i="5"/>
  <c r="F5" i="5"/>
  <c r="C46" i="6"/>
  <c r="F63" i="6"/>
  <c r="H63" i="6" s="1"/>
  <c r="C63" i="6" s="1"/>
  <c r="H54" i="6"/>
  <c r="D54" i="6" s="1"/>
  <c r="F60" i="6"/>
  <c r="H60" i="6" s="1"/>
  <c r="C60" i="6" s="1"/>
  <c r="F57" i="6"/>
  <c r="H57" i="6" s="1"/>
  <c r="F59" i="6"/>
  <c r="H59" i="6" s="1"/>
  <c r="D59" i="6" s="1"/>
  <c r="C51"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D58" i="6"/>
  <c r="C58" i="6"/>
  <c r="C62" i="6"/>
  <c r="D62" i="6"/>
  <c r="C54" i="6"/>
  <c r="D57" i="6"/>
  <c r="C57" i="6"/>
  <c r="F56" i="6"/>
  <c r="H56" i="6" s="1"/>
  <c r="H55" i="6"/>
  <c r="C59" i="6"/>
  <c r="T12" i="5"/>
  <c r="T17" i="5"/>
  <c r="T16" i="5"/>
  <c r="T14" i="5"/>
  <c r="T15" i="5"/>
  <c r="T13" i="5"/>
  <c r="T7" i="5"/>
  <c r="T6" i="5"/>
  <c r="T11" i="5"/>
  <c r="T5" i="5"/>
  <c r="T10" i="5"/>
  <c r="T9" i="5"/>
  <c r="T8" i="5"/>
  <c r="X6" i="5" l="1"/>
  <c r="X5" i="5"/>
  <c r="D63" i="6"/>
  <c r="D60" i="6"/>
  <c r="X13" i="5"/>
  <c r="X10" i="5"/>
  <c r="D65" i="6"/>
  <c r="X9" i="5"/>
  <c r="X12" i="5"/>
  <c r="X14" i="5"/>
  <c r="X17" i="5"/>
  <c r="S17" i="5"/>
  <c r="D66" i="6"/>
  <c r="C67" i="6"/>
  <c r="X11" i="5"/>
  <c r="X15" i="5"/>
  <c r="X8" i="5"/>
  <c r="X7" i="5"/>
  <c r="G69" i="6"/>
  <c r="H69" i="6" s="1"/>
  <c r="H70" i="6" s="1"/>
  <c r="D2" i="6" s="1"/>
  <c r="X16" i="5"/>
  <c r="S16" i="5"/>
  <c r="D55" i="6"/>
  <c r="C55" i="6"/>
  <c r="D56" i="6"/>
  <c r="C56" i="6"/>
  <c r="S13" i="5"/>
  <c r="S14" i="5"/>
  <c r="S12" i="5"/>
  <c r="S15" i="5"/>
  <c r="S7" i="5"/>
  <c r="S6" i="5"/>
  <c r="S10" i="5"/>
  <c r="S5" i="5"/>
  <c r="S11" i="5"/>
  <c r="S9" i="5"/>
  <c r="S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<sst xmlns="http://schemas.openxmlformats.org/spreadsheetml/2006/main" count="21815" uniqueCount="15520">
  <si>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</si>
  <si>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</si>
  <si>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</si>
  <si>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</si>
  <si>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</si>
  <si>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</si>
  <si>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</si>
  <si>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</si>
  <si>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</si>
  <si>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</si>
  <si>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</si>
  <si>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</si>
  <si>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</si>
  <si>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</si>
  <si>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</si>
  <si>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</si>
  <si>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</si>
  <si>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</si>
  <si>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</si>
  <si>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</si>
  <si>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</si>
  <si>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</si>
  <si>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</si>
  <si>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</si>
  <si>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</si>
  <si>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</si>
  <si>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</si>
  <si>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</si>
  <si>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</si>
  <si>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</si>
  <si>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</si>
  <si>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</si>
  <si>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</si>
  <si>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</si>
  <si>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</si>
  <si>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</si>
  <si>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</si>
  <si>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</si>
  <si>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</si>
  <si>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</si>
  <si>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</si>
  <si>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</si>
  <si>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</si>
  <si>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</si>
  <si>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</si>
  <si>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</si>
  <si>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</si>
  <si>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</si>
  <si>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</si>
  <si>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</si>
  <si>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</si>
  <si>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</si>
  <si>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</si>
  <si>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</si>
  <si>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</si>
  <si>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</si>
  <si>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</si>
  <si>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</si>
  <si>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</si>
  <si>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</si>
  <si>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</si>
  <si>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</si>
  <si>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</si>
  <si>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</si>
  <si>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</si>
  <si>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</si>
  <si>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</si>
  <si>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</si>
  <si>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</si>
  <si>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</si>
  <si>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</si>
  <si>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</si>
  <si>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</si>
  <si>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</si>
  <si>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</si>
  <si>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</si>
  <si>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</si>
  <si>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</si>
  <si>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</si>
  <si>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</si>
  <si>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</si>
  <si>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</si>
  <si>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</si>
  <si>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</si>
  <si>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</si>
  <si>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</si>
  <si>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</si>
  <si>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</si>
  <si>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</si>
  <si>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</si>
  <si>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</si>
  <si>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</si>
  <si>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</si>
  <si>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</si>
  <si>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</si>
  <si>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</si>
  <si>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</si>
  <si>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</si>
  <si>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</si>
  <si>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</si>
  <si>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</si>
  <si>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</si>
  <si>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</si>
  <si>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</si>
  <si>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</si>
  <si>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</si>
  <si>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</si>
  <si>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</si>
  <si>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</si>
  <si>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</si>
  <si>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</si>
  <si>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</si>
  <si>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</si>
  <si>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</si>
  <si>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</si>
  <si>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</si>
  <si>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</si>
  <si>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</si>
  <si>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</si>
  <si>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</si>
  <si>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</si>
  <si>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</si>
  <si>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</si>
  <si>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</si>
  <si>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</si>
  <si>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</si>
  <si>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</si>
  <si>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</si>
  <si>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</si>
  <si>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</si>
  <si>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</si>
  <si>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</si>
  <si>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</si>
  <si>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</si>
  <si>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</si>
  <si>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</si>
  <si>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</si>
  <si>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</si>
  <si>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</si>
  <si>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</si>
  <si>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</si>
  <si>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</si>
  <si>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</si>
  <si>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</si>
  <si>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</si>
  <si>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</si>
  <si>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</si>
  <si>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</si>
  <si>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</si>
  <si>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</si>
  <si>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</si>
  <si>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</si>
  <si>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</si>
  <si>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</si>
  <si>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</si>
  <si>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</si>
  <si>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</si>
  <si>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</si>
  <si>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</si>
  <si>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</si>
  <si>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</si>
  <si>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</si>
  <si>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</si>
  <si>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</si>
  <si>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</si>
  <si>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</si>
  <si>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</si>
  <si>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</si>
  <si>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</si>
  <si>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</si>
  <si>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</si>
  <si>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</si>
  <si>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</si>
  <si>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</si>
  <si>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</si>
  <si>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</si>
  <si>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</si>
  <si>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</si>
  <si>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</si>
  <si>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</si>
  <si>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</si>
  <si>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</si>
  <si>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</si>
  <si>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</si>
  <si>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</si>
  <si>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</si>
  <si>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</si>
  <si>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</si>
  <si>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</si>
  <si>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</si>
  <si>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</si>
  <si>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</si>
  <si>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</si>
  <si>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</si>
  <si>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</si>
  <si>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</si>
  <si>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</si>
  <si>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</si>
  <si>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</si>
  <si>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</si>
  <si>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</si>
  <si>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</si>
  <si>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</si>
  <si>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</si>
  <si>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</si>
  <si>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</si>
  <si>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</si>
  <si>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</si>
  <si>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</si>
  <si>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</si>
  <si>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</si>
  <si>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</si>
  <si>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</si>
  <si>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</si>
  <si>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</si>
  <si>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</si>
  <si>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</si>
  <si>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</si>
  <si>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</si>
  <si>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</si>
  <si>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</si>
  <si>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</si>
  <si>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</si>
  <si>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</si>
  <si>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</si>
  <si>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</si>
  <si>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</si>
  <si>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</si>
  <si>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</si>
  <si>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</si>
  <si>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</si>
  <si>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</si>
  <si>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</si>
  <si>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</si>
  <si>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</si>
  <si>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</si>
  <si>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</si>
  <si>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</si>
  <si>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</si>
  <si>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</si>
  <si>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</si>
  <si>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</si>
  <si>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</si>
  <si>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</si>
  <si>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</si>
  <si>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</si>
  <si>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</si>
  <si>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</si>
  <si>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</si>
  <si>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</si>
  <si>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</si>
  <si>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</si>
  <si>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</si>
  <si>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</si>
  <si>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</si>
  <si>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</si>
  <si>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</si>
  <si>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</si>
  <si>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</si>
  <si>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</si>
  <si>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</si>
  <si>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</si>
  <si>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</si>
  <si>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</si>
  <si>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</si>
  <si>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</si>
  <si>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</si>
  <si>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</si>
  <si>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</si>
  <si>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</si>
  <si>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</si>
  <si>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</si>
  <si>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</si>
  <si>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</si>
  <si>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</si>
  <si>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</si>
  <si>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</si>
  <si>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</si>
  <si>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</si>
  <si>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</si>
  <si>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</si>
  <si>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</si>
  <si>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</si>
  <si>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</si>
  <si>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</si>
  <si>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</si>
  <si>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</si>
  <si>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</si>
  <si>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</si>
  <si>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</si>
  <si>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</si>
  <si>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</si>
  <si>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</si>
  <si>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</si>
  <si>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</si>
  <si>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</si>
  <si>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</si>
  <si>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</si>
  <si>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</si>
  <si>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</si>
  <si>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</si>
  <si>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</si>
  <si>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</si>
  <si>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</si>
  <si>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</si>
  <si>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</si>
  <si>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</si>
  <si>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</si>
  <si>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</si>
  <si>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</si>
  <si>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</si>
  <si>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</si>
  <si>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</si>
  <si>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</si>
  <si>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</si>
  <si>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</si>
  <si>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</si>
  <si>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</si>
  <si>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</si>
  <si>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</si>
  <si>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</si>
  <si>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</si>
  <si>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</si>
  <si>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</si>
  <si>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</si>
  <si>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</si>
  <si>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</si>
  <si>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</si>
  <si>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</si>
  <si>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</si>
  <si>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</si>
  <si>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</si>
  <si>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</si>
  <si>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</si>
  <si>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</si>
  <si>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</si>
  <si>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</si>
  <si>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</si>
  <si>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</si>
  <si>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</si>
  <si>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</si>
  <si>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</si>
  <si>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</si>
  <si>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</si>
  <si>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</si>
  <si>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</si>
  <si>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</si>
  <si>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</si>
  <si>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</si>
  <si>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</si>
  <si>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</si>
  <si>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</si>
  <si>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</si>
  <si>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</si>
  <si>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</si>
  <si>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</si>
  <si>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</si>
  <si>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</si>
  <si>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</si>
  <si>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</si>
  <si>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</si>
  <si>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</si>
  <si>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</si>
  <si>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</si>
  <si>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</si>
  <si>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</si>
  <si>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</si>
  <si>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</si>
  <si>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</si>
  <si>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</si>
  <si>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</si>
  <si>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</si>
  <si>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</si>
  <si>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</si>
  <si>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</si>
  <si>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</si>
  <si>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</si>
  <si>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</si>
  <si>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</si>
  <si>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</si>
  <si>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</si>
  <si>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</si>
  <si>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</si>
  <si>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</si>
  <si>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</si>
  <si>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</si>
  <si>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</si>
  <si>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</si>
  <si>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</si>
  <si>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</si>
  <si>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</si>
  <si>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</si>
  <si>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</si>
  <si>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</si>
  <si>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</si>
  <si>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</si>
  <si>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</si>
  <si>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</si>
  <si>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</si>
  <si>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</si>
  <si>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</si>
  <si>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</si>
  <si>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</si>
  <si>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</si>
  <si>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</si>
  <si>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</si>
  <si>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</si>
  <si>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</si>
  <si>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</si>
  <si>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</si>
  <si>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</si>
  <si>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</si>
  <si>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</si>
  <si>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</si>
  <si>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</si>
  <si>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</si>
  <si>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</si>
  <si>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</si>
  <si>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</si>
  <si>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</si>
  <si>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</si>
  <si>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</si>
  <si>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</si>
  <si>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</si>
  <si>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</si>
  <si>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</si>
  <si>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</si>
  <si>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</si>
  <si>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</si>
  <si>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</si>
  <si>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</si>
  <si>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</si>
  <si>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</si>
  <si>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</si>
  <si>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</si>
  <si>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</si>
  <si>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</si>
  <si>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</si>
  <si>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</si>
  <si>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</si>
  <si>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</si>
  <si>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</si>
  <si>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</si>
  <si>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</si>
  <si>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</si>
  <si>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</si>
  <si>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</si>
  <si>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</si>
  <si>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</si>
  <si>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</si>
  <si>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</si>
  <si>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</si>
  <si>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</si>
  <si>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</si>
  <si>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</si>
  <si>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</si>
  <si>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</si>
  <si>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</si>
  <si>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</si>
  <si>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</si>
  <si>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</si>
  <si>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</si>
  <si>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</si>
  <si>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</si>
  <si>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</si>
  <si>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</si>
  <si>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</si>
  <si>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</si>
  <si>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</si>
  <si>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</si>
  <si>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</si>
  <si>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</si>
  <si>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</si>
  <si>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</si>
  <si>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</si>
  <si>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</si>
  <si>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</si>
  <si>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</si>
  <si>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</si>
  <si>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</si>
  <si>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</si>
  <si>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</si>
  <si>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</si>
  <si>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</si>
  <si>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</si>
  <si>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</si>
  <si>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</si>
  <si>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</si>
  <si>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</si>
  <si>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</si>
  <si>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</si>
  <si>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</si>
  <si>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</si>
  <si>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</si>
  <si>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</si>
  <si>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</si>
  <si>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</si>
  <si>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</si>
  <si>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</si>
  <si>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</si>
  <si>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</si>
  <si>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</si>
  <si>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</si>
  <si>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</si>
  <si>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</si>
  <si>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</si>
  <si>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</si>
  <si>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</si>
  <si>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</si>
  <si>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</si>
  <si>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</si>
  <si>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</si>
  <si>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</si>
  <si>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</si>
  <si>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</si>
  <si>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</si>
  <si>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</si>
  <si>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</si>
  <si>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</si>
  <si>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</si>
  <si>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</si>
  <si>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</si>
  <si>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</si>
  <si>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</si>
  <si>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</si>
  <si>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</si>
  <si>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</si>
  <si>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</si>
  <si>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</si>
  <si>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</si>
  <si>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</si>
  <si>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</si>
  <si>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</si>
  <si>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</si>
  <si>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</si>
  <si>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</si>
  <si>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</si>
  <si>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</si>
  <si>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</si>
  <si>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</si>
  <si>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</si>
  <si>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</si>
  <si>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</si>
  <si>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</si>
  <si>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</si>
  <si>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</si>
  <si>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</si>
  <si>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</si>
  <si>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</si>
  <si>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</si>
  <si>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</si>
  <si>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</si>
  <si>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</si>
  <si>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</si>
  <si>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</si>
  <si>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</si>
  <si>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</si>
  <si>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</si>
  <si>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</si>
  <si>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</si>
  <si>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</si>
  <si>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</si>
  <si>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</si>
  <si>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</si>
  <si>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</si>
  <si>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</si>
  <si>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</si>
  <si>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</si>
  <si>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</si>
  <si>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</si>
  <si>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</si>
  <si>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</si>
  <si>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</si>
  <si>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</si>
  <si>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</si>
  <si>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</si>
  <si>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</si>
  <si>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</si>
  <si>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</si>
  <si>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</si>
  <si>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</si>
  <si>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</si>
  <si>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</si>
  <si>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</si>
  <si>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</si>
  <si>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</si>
  <si>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</si>
  <si>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</si>
  <si>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</si>
  <si>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</si>
  <si>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</si>
  <si>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</si>
  <si>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</si>
  <si>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</si>
  <si>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</si>
  <si>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</si>
  <si>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</si>
  <si>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</si>
  <si>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</si>
  <si>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</si>
  <si>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</si>
  <si>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</si>
  <si>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</si>
  <si>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</si>
  <si>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</si>
  <si>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</si>
  <si>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</si>
  <si>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</si>
  <si>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</si>
  <si>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</si>
  <si>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</si>
  <si>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</si>
  <si>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</si>
  <si>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</si>
  <si>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</si>
  <si>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</si>
  <si>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</si>
  <si>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</si>
  <si>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</si>
  <si>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</si>
  <si>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</si>
  <si>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</si>
  <si>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</si>
  <si>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</si>
  <si>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</si>
  <si>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</si>
  <si>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</si>
  <si>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</si>
  <si>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</si>
  <si>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</si>
  <si>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</si>
  <si>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</si>
  <si>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</si>
  <si>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</si>
  <si>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</si>
  <si>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</si>
  <si>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</si>
  <si>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</si>
  <si>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</si>
  <si>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</si>
  <si>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</si>
  <si>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</si>
  <si>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</si>
  <si>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</si>
  <si>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</si>
  <si>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</si>
  <si>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</si>
  <si>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</si>
  <si>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</si>
  <si>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</si>
  <si>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</si>
  <si>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</si>
  <si>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</si>
  <si>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</si>
  <si>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</si>
  <si>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</si>
  <si>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</si>
  <si>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</si>
  <si>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</si>
  <si>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</si>
  <si>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</si>
  <si>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</si>
  <si>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</si>
  <si>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</si>
  <si>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</si>
  <si>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</si>
  <si>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</si>
  <si>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</si>
  <si>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</si>
  <si>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</si>
  <si>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</si>
  <si>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</si>
  <si>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</si>
  <si>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</si>
  <si>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</si>
  <si>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</si>
  <si>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</si>
  <si>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</si>
  <si>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</si>
  <si>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</si>
  <si>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</si>
  <si>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</si>
  <si>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</si>
  <si>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</si>
  <si>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</si>
  <si>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</si>
  <si>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</si>
  <si>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</si>
  <si>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</si>
  <si>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</si>
  <si>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</si>
  <si>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</si>
  <si>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</si>
  <si>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</si>
  <si>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</si>
  <si>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</si>
  <si>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</si>
  <si>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</si>
  <si>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</si>
  <si>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</si>
  <si>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</si>
  <si>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</si>
  <si>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</si>
  <si>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</si>
  <si>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</si>
  <si>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</si>
  <si>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</si>
  <si>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</si>
  <si>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</si>
  <si>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</si>
  <si>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</si>
  <si>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</si>
  <si>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</si>
  <si>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</si>
  <si>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</si>
  <si>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</si>
  <si>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</si>
  <si>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</si>
  <si>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</si>
  <si>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</si>
  <si>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</si>
  <si>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</si>
  <si>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</si>
  <si>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</si>
  <si>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</si>
  <si>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</si>
  <si>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</si>
  <si>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</si>
  <si>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</si>
  <si>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</si>
  <si>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</si>
  <si>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</si>
  <si>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</si>
  <si>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</si>
  <si>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</si>
  <si>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</si>
  <si>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</si>
  <si>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</si>
  <si>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</si>
  <si>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</si>
  <si>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</si>
  <si>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</si>
  <si>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</si>
  <si>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</si>
  <si>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</si>
  <si>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</si>
  <si>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</si>
  <si>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</si>
  <si>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</si>
  <si>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</si>
  <si>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</si>
  <si>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</si>
  <si>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</si>
  <si>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</si>
  <si>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</si>
  <si>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</si>
  <si>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</si>
  <si>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</si>
  <si>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</si>
  <si>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</si>
  <si>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</si>
  <si>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</si>
  <si>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</si>
  <si>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</si>
  <si>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</si>
  <si>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</si>
  <si>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</si>
  <si>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</si>
  <si>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</si>
  <si>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</si>
  <si>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</si>
  <si>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</si>
  <si>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</si>
  <si>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</si>
  <si>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</si>
  <si>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</si>
  <si>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</si>
  <si>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</si>
  <si>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</si>
  <si>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</si>
  <si>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</si>
  <si>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</si>
  <si>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</si>
  <si>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</si>
  <si>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</si>
  <si>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</si>
  <si>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</si>
  <si>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</si>
  <si>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</si>
  <si>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</si>
  <si>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</si>
  <si>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</si>
  <si>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</si>
  <si>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</si>
  <si>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</si>
  <si>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</si>
  <si>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</si>
  <si>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</si>
  <si>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</si>
  <si>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</si>
  <si>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</si>
  <si>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</si>
  <si>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</si>
  <si>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</si>
  <si>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</si>
  <si>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</si>
  <si>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</si>
  <si>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</si>
  <si>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</si>
  <si>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</si>
  <si>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</si>
  <si>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</si>
  <si>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</si>
  <si>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</si>
  <si>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</si>
  <si>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</si>
  <si>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</si>
  <si>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</si>
  <si>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</si>
  <si>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</si>
  <si>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</si>
  <si>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</si>
  <si>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</si>
  <si>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</si>
  <si>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</si>
  <si>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</si>
  <si>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</si>
  <si>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</si>
  <si>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</si>
  <si>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</si>
  <si>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</si>
  <si>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</si>
  <si>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</si>
  <si>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</si>
  <si>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</si>
  <si>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</si>
  <si>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</si>
  <si>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</si>
  <si>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</si>
  <si>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</si>
  <si>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</si>
  <si>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</si>
  <si>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</si>
  <si>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</si>
  <si>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</si>
  <si>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</si>
  <si>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</si>
  <si>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</si>
  <si>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</si>
  <si>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</si>
  <si>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</si>
  <si>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</si>
  <si>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</si>
  <si>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</si>
  <si>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</si>
  <si>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</si>
  <si>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</si>
  <si>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</si>
  <si>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</si>
  <si>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</si>
  <si>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</si>
  <si>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</si>
  <si>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</si>
  <si>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</si>
  <si>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</si>
  <si>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</si>
  <si>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</si>
  <si>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</si>
  <si>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</si>
  <si>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</si>
  <si>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</si>
  <si>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</si>
  <si>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</si>
  <si>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</si>
  <si>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</si>
  <si>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</si>
  <si>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</si>
  <si>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</si>
  <si>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</si>
  <si>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</si>
  <si>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</si>
  <si>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</si>
  <si>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</si>
  <si>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</si>
  <si>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</si>
  <si>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</si>
  <si>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</si>
  <si>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</si>
  <si>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</si>
  <si>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</si>
  <si>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</si>
  <si>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</si>
  <si>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</si>
  <si>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</si>
  <si>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</si>
  <si>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</si>
  <si>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</si>
  <si>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</si>
  <si>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</si>
  <si>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</si>
  <si>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</si>
  <si>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</si>
  <si>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</si>
  <si>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</si>
  <si>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</si>
  <si>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</si>
  <si>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</si>
  <si>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</si>
  <si>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</si>
  <si>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</si>
  <si>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</si>
  <si>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</si>
  <si>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</si>
  <si>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</si>
  <si>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</si>
  <si>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</si>
  <si>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</si>
  <si>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</si>
  <si>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</si>
  <si>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</si>
  <si>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</si>
  <si>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</si>
  <si>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</si>
  <si>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</si>
  <si>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</si>
  <si>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</si>
  <si>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</si>
  <si>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</si>
  <si>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</si>
  <si>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</si>
  <si>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</si>
  <si>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</si>
  <si>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</si>
  <si>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</si>
  <si>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</si>
  <si>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</si>
  <si>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</si>
  <si>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</si>
  <si>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</si>
  <si>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</si>
  <si>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</si>
  <si>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</si>
  <si>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</si>
  <si>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</si>
  <si>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</si>
  <si>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</si>
  <si>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</si>
  <si>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</si>
  <si>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</si>
  <si>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</si>
  <si>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</si>
  <si>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</si>
  <si>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</si>
  <si>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</si>
  <si>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</si>
  <si>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</si>
  <si>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</si>
  <si>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</si>
  <si>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</si>
  <si>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</si>
  <si>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</si>
  <si>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</si>
  <si>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</si>
  <si>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</si>
  <si>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</si>
  <si>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</si>
  <si>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</si>
  <si>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</si>
  <si>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</si>
  <si>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</si>
  <si>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</si>
  <si>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</si>
  <si>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</si>
  <si>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</si>
  <si>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</si>
  <si>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</si>
  <si>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</si>
  <si>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</si>
  <si>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</si>
  <si>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</si>
  <si>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</si>
  <si>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</si>
  <si>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</si>
  <si>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</si>
  <si>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</si>
  <si>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</si>
  <si>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</si>
  <si>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</si>
  <si>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</si>
  <si>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</si>
  <si>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</si>
  <si>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</si>
  <si>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</si>
  <si>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</si>
  <si>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</si>
  <si>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</si>
  <si>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</si>
  <si>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</si>
  <si>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</si>
  <si>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</si>
  <si>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</si>
  <si>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</si>
  <si>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</si>
  <si>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</si>
  <si>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</si>
  <si>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</si>
  <si>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</si>
  <si>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</si>
  <si>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</si>
  <si>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</si>
  <si>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</si>
  <si>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</si>
  <si>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</si>
  <si>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</si>
  <si>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</si>
  <si>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</si>
  <si>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</si>
  <si>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</si>
  <si>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</si>
  <si>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</si>
  <si>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</si>
  <si>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</si>
  <si>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</si>
  <si>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</si>
  <si>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</si>
  <si>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</si>
  <si>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</si>
  <si>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</si>
  <si>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</si>
  <si>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</si>
  <si>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</si>
  <si>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</si>
  <si>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</si>
  <si>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</si>
  <si>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</si>
  <si>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</si>
  <si>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</si>
  <si>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</si>
  <si>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</si>
  <si>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</si>
  <si>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</si>
  <si>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</si>
  <si>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</si>
  <si>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</si>
  <si>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</si>
  <si>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</si>
  <si>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</si>
  <si>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</si>
  <si>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</si>
  <si>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</si>
  <si>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</si>
  <si>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</si>
  <si>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</si>
  <si>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</si>
  <si>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</si>
  <si>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</si>
  <si>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</si>
  <si>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</si>
  <si>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</si>
  <si>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</si>
  <si>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</si>
  <si>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</si>
  <si>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</si>
  <si>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</si>
  <si>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</si>
  <si>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</si>
  <si>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</si>
  <si>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</si>
  <si>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</si>
  <si>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</si>
  <si>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</si>
  <si>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</si>
  <si>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</si>
  <si>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</si>
  <si>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</si>
  <si>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</si>
  <si>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</si>
  <si>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</si>
  <si>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</si>
  <si>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</si>
  <si>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</si>
  <si>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</si>
  <si>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</si>
  <si>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</si>
  <si>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</si>
  <si>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</si>
  <si>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</si>
  <si>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</si>
  <si>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</si>
  <si>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</si>
  <si>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</si>
  <si>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</si>
  <si>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</si>
  <si>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</si>
  <si>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</si>
  <si>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</si>
  <si>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</si>
  <si>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</si>
  <si>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</si>
  <si>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</si>
  <si>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</si>
  <si>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</si>
  <si>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</si>
  <si>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</si>
  <si>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</si>
  <si>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</si>
  <si>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</si>
  <si>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</si>
  <si>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</si>
  <si>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</si>
  <si>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</si>
  <si>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</si>
  <si>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</si>
  <si>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</si>
  <si>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</si>
  <si>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</si>
  <si>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</si>
  <si>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</si>
  <si>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</si>
  <si>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</si>
  <si>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</si>
  <si>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</si>
  <si>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</si>
  <si>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</si>
  <si>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</si>
  <si>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</si>
  <si>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</si>
  <si>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</si>
  <si>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</si>
  <si>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</si>
  <si>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</si>
  <si>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</si>
  <si>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</si>
  <si>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</si>
  <si>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</si>
  <si>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</si>
  <si>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</si>
  <si>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</si>
  <si>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</si>
  <si>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</si>
  <si>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</si>
  <si>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</si>
  <si>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</si>
  <si>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</si>
  <si>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</si>
  <si>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</si>
  <si>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</si>
  <si>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</si>
  <si>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</si>
  <si>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</si>
  <si>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</si>
  <si>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</si>
  <si>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</si>
  <si>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</si>
  <si>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</si>
  <si>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</si>
  <si>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</si>
  <si>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</si>
  <si>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</si>
  <si>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</si>
  <si>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</si>
  <si>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</si>
  <si>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</si>
  <si>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</si>
  <si>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</si>
  <si>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</si>
  <si>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</si>
  <si>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</si>
  <si>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</si>
  <si>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</si>
  <si>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</si>
  <si>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</si>
  <si>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</si>
  <si>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</si>
  <si>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</si>
  <si>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</si>
  <si>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</si>
  <si>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</si>
  <si>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</si>
  <si>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</si>
  <si>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</si>
  <si>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</si>
  <si>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</si>
  <si>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</si>
  <si>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</si>
  <si>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</si>
  <si>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</si>
  <si>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</si>
  <si>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</si>
  <si>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</si>
  <si>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</si>
  <si>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</si>
  <si>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</si>
  <si>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</si>
  <si>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</si>
  <si>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</si>
  <si>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</si>
  <si>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</si>
  <si>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</si>
  <si>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</si>
  <si>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</si>
  <si>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</si>
  <si>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</si>
  <si>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</si>
  <si>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</si>
  <si>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</si>
  <si>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</si>
  <si>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</si>
  <si>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</si>
  <si>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</si>
  <si>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</si>
  <si>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</si>
  <si>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</si>
  <si>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</si>
  <si>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</si>
  <si>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</si>
  <si>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</si>
  <si>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</si>
  <si>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</si>
  <si>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</si>
  <si>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</si>
  <si>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</si>
  <si>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</si>
  <si>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</si>
  <si>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</si>
  <si>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</si>
  <si>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</si>
  <si>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</si>
  <si>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</si>
  <si>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</si>
  <si>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</si>
  <si>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</si>
  <si>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</si>
  <si>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</si>
  <si>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</si>
  <si>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</si>
  <si>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</si>
  <si>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</si>
  <si>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</si>
  <si>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</si>
  <si>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</si>
  <si>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</si>
  <si>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</si>
  <si>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</si>
  <si>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</si>
  <si>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</si>
  <si>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</si>
  <si>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</si>
  <si>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</si>
  <si>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</si>
  <si>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</si>
  <si>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</si>
  <si>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</si>
  <si>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</si>
  <si>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</si>
  <si>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</si>
  <si>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</si>
  <si>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</si>
  <si>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</si>
  <si>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</si>
  <si>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</si>
  <si>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</si>
  <si>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</si>
  <si>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</si>
  <si>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</si>
  <si>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</si>
  <si>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</si>
  <si>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</si>
  <si>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</si>
  <si>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</si>
  <si>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</si>
  <si>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</si>
  <si>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</si>
  <si>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</si>
  <si>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</si>
  <si>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</si>
  <si>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</si>
  <si>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</si>
  <si>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</si>
  <si>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</si>
  <si>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</si>
  <si>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</si>
  <si>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</si>
  <si>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</si>
  <si>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</si>
  <si>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</si>
  <si>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</si>
  <si>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</si>
  <si>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</si>
  <si>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</si>
  <si>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</si>
  <si>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</si>
  <si>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</si>
  <si>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</si>
  <si>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</si>
  <si>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</si>
  <si>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</si>
  <si>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</si>
  <si>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</si>
  <si>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</si>
  <si>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</si>
  <si>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</si>
  <si>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</si>
  <si>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</si>
  <si>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</si>
  <si>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</si>
  <si>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</si>
  <si>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</si>
  <si>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</si>
  <si>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</si>
  <si>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</si>
  <si>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</si>
  <si>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</si>
  <si>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</si>
  <si>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</si>
  <si>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</si>
  <si>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</si>
  <si>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</si>
  <si>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</si>
  <si>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</si>
  <si>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</si>
  <si>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</si>
  <si>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</si>
  <si>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</si>
  <si>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</si>
  <si>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</si>
  <si>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</si>
  <si>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</si>
  <si>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</si>
  <si>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</si>
  <si>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</si>
  <si>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</si>
  <si>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</si>
  <si>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</si>
  <si>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</si>
  <si>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</si>
  <si>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</si>
  <si>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</si>
  <si>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</si>
  <si>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</si>
  <si>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</si>
  <si>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</si>
  <si>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</si>
  <si>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</si>
  <si>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</si>
  <si>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</si>
  <si>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</si>
  <si>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</si>
  <si>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</si>
  <si>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</si>
  <si>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</si>
  <si>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</si>
  <si>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</si>
  <si>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</si>
  <si>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</si>
  <si>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</si>
  <si>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</si>
  <si>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</si>
  <si>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</si>
  <si>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</si>
  <si>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</si>
  <si>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</si>
  <si>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</si>
  <si>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</si>
  <si>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</si>
  <si>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</si>
  <si>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</si>
  <si>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</si>
  <si>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</si>
  <si>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</si>
  <si>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</si>
  <si>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</si>
  <si>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</si>
  <si>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</si>
  <si>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</si>
  <si>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</si>
  <si>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</si>
  <si>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</si>
  <si>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</si>
  <si>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</si>
  <si>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</si>
  <si>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</si>
  <si>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</si>
  <si>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</si>
  <si>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</si>
  <si>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</si>
  <si>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</si>
  <si>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</si>
  <si>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</si>
  <si>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</si>
  <si>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</si>
  <si>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</si>
  <si>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</si>
  <si>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</si>
  <si>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</si>
  <si>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</si>
  <si>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</si>
  <si>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</si>
  <si>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</si>
  <si>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</si>
  <si>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</si>
  <si>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</si>
  <si>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</si>
  <si>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</si>
  <si>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</si>
  <si>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</si>
  <si>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</si>
  <si>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</si>
  <si>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</si>
  <si>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</si>
  <si>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</si>
  <si>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</si>
  <si>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</si>
  <si>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</si>
  <si>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</si>
  <si>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</si>
  <si>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</si>
  <si>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</si>
  <si>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</si>
  <si>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</si>
  <si>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</si>
  <si>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</si>
  <si>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</si>
  <si>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</si>
  <si>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</si>
  <si>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</si>
  <si>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</si>
  <si>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</si>
  <si>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</si>
  <si>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</si>
  <si>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</si>
  <si>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</si>
  <si>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</si>
  <si>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</si>
  <si>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</si>
  <si>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</si>
  <si>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</si>
  <si>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</si>
  <si>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</si>
  <si>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</si>
  <si>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</si>
  <si>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</si>
  <si>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</si>
  <si>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</si>
  <si>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</si>
  <si>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</si>
  <si>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</si>
  <si>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</si>
  <si>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</si>
  <si>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</si>
  <si>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</si>
  <si>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</si>
  <si>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</si>
  <si>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</si>
  <si>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</si>
  <si>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</si>
  <si>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</si>
  <si>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</si>
  <si>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</si>
  <si>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</si>
  <si>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</si>
  <si>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</si>
  <si>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</si>
  <si>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</si>
  <si>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</si>
  <si>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</si>
  <si>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</si>
  <si>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</si>
  <si>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</si>
  <si>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</si>
  <si>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</si>
  <si>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</si>
  <si>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</si>
  <si>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</si>
  <si>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</si>
  <si>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</si>
  <si>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</si>
  <si>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</si>
  <si>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</si>
  <si>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</si>
  <si>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</si>
  <si>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</si>
  <si>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</si>
  <si>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</si>
  <si>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</si>
  <si>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</si>
  <si>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</si>
  <si>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</si>
  <si>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</si>
  <si>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</si>
  <si>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</si>
  <si>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</si>
  <si>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</si>
  <si>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</si>
  <si>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</si>
  <si>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</si>
  <si>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</si>
  <si>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</si>
  <si>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</si>
  <si>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</si>
  <si>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</si>
  <si>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</si>
  <si>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</si>
  <si>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</si>
  <si>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</si>
  <si>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</si>
  <si>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</si>
  <si>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</si>
  <si>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</si>
  <si>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</si>
  <si>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</si>
  <si>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</si>
  <si>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</si>
  <si>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</si>
  <si>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</si>
  <si>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</si>
  <si>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</si>
  <si>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</si>
  <si>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</si>
  <si>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</si>
  <si>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</si>
  <si>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</si>
  <si>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</si>
  <si>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</si>
  <si>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</si>
  <si>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</si>
  <si>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</si>
  <si>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</si>
  <si>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</si>
  <si>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</si>
  <si>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</si>
  <si>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</si>
  <si>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</si>
  <si>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</si>
  <si>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</si>
  <si>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</si>
  <si>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</si>
  <si>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</si>
  <si>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</si>
  <si>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</si>
  <si>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</si>
  <si>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</si>
  <si>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</si>
  <si>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</si>
  <si>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</si>
  <si>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</si>
  <si>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</si>
  <si>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</si>
  <si>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</si>
  <si>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</si>
  <si>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</si>
  <si>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</si>
  <si>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</si>
  <si>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</si>
  <si>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</si>
  <si>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</si>
  <si>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</si>
  <si>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</si>
  <si>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</si>
  <si>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</si>
  <si>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</si>
  <si>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</si>
  <si>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</si>
  <si>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</si>
  <si>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</si>
  <si>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</si>
  <si>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</si>
  <si>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</si>
  <si>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</si>
  <si>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</si>
  <si>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</si>
  <si>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</si>
  <si>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</si>
  <si>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</si>
  <si>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</si>
  <si>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</si>
  <si>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</si>
  <si>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</si>
  <si>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</si>
  <si>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</si>
  <si>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</si>
  <si>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</si>
  <si>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</si>
  <si>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</si>
  <si>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</si>
  <si>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</si>
  <si>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</si>
  <si>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</si>
  <si>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</si>
  <si>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</si>
  <si>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</si>
  <si>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</si>
  <si>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</si>
  <si>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</si>
  <si>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</si>
  <si>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</si>
  <si>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</si>
  <si>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</si>
  <si>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</si>
  <si>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</si>
  <si>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</si>
  <si>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</si>
  <si>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</si>
  <si>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</si>
  <si>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</si>
  <si>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</si>
  <si>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</si>
  <si>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</si>
  <si>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</si>
  <si>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</si>
  <si>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</si>
  <si>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</si>
  <si>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</si>
  <si>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</si>
  <si>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</si>
  <si>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</si>
  <si>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</si>
  <si>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</si>
  <si>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</si>
  <si>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</si>
  <si>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</si>
  <si>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</si>
  <si>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</si>
  <si>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</si>
  <si>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</si>
  <si>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</si>
  <si>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</si>
  <si>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</si>
  <si>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</si>
  <si>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</si>
  <si>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</si>
  <si>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</si>
  <si>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</si>
  <si>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</si>
  <si>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</si>
  <si>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</si>
  <si>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</si>
  <si>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</si>
  <si>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</si>
  <si>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</si>
  <si>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</si>
  <si>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</si>
  <si>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</si>
  <si>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</si>
  <si>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</si>
  <si>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</si>
  <si>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</si>
  <si>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</si>
  <si>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</si>
  <si>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</si>
  <si>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</si>
  <si>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</si>
  <si>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</si>
  <si>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</si>
  <si>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</si>
  <si>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</si>
  <si>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</si>
  <si>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</si>
  <si>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</si>
  <si>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</si>
  <si>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</si>
  <si>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</si>
  <si>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</si>
  <si>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</si>
  <si>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</si>
  <si>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</si>
  <si>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</si>
  <si>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</si>
  <si>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</si>
  <si>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</si>
  <si>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</si>
  <si>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</si>
  <si>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</si>
  <si>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</si>
  <si>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</si>
  <si>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</si>
  <si>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</si>
  <si>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</si>
  <si>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</si>
  <si>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</si>
  <si>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</si>
  <si>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</si>
  <si>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</si>
  <si>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</si>
  <si>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</si>
  <si>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</si>
  <si>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</si>
  <si>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</si>
  <si>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</si>
  <si>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</si>
  <si>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</si>
  <si>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</si>
  <si>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</si>
  <si>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</si>
  <si>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</si>
  <si>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</si>
  <si>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</si>
  <si>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</si>
  <si>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</si>
  <si>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</si>
  <si>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</si>
  <si>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</si>
  <si>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</si>
  <si>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</si>
  <si>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</si>
  <si>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</si>
  <si>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</si>
  <si>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</si>
  <si>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</si>
  <si>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</si>
  <si>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</si>
  <si>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</si>
  <si>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</si>
  <si>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</si>
  <si>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</si>
  <si>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</si>
  <si>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</si>
  <si>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</si>
  <si>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</si>
  <si>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</si>
  <si>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</si>
  <si>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</si>
  <si>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</si>
  <si>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</si>
  <si>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</si>
  <si>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</si>
  <si>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</si>
  <si>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</si>
  <si>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</si>
  <si>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</si>
  <si>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</si>
  <si>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</si>
  <si>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</si>
  <si>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</si>
  <si>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</si>
  <si>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</si>
  <si>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</si>
  <si>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</si>
  <si>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</si>
  <si>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</si>
  <si>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</si>
  <si>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</si>
  <si>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</si>
  <si>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</si>
  <si>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</si>
  <si>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</si>
  <si>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</si>
  <si>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</si>
  <si>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</si>
  <si>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</si>
  <si>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</si>
  <si>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</si>
  <si>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</si>
  <si>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</si>
  <si>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</si>
  <si>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</si>
  <si>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</si>
  <si>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</si>
  <si>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</si>
  <si>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</si>
  <si>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</si>
  <si>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</si>
  <si>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</si>
  <si>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</si>
  <si>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</si>
  <si>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</si>
  <si>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</si>
  <si>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</si>
  <si>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</si>
  <si>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</si>
  <si>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</si>
  <si>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</si>
  <si>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</si>
  <si>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</si>
  <si>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</si>
  <si>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</si>
  <si>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</si>
  <si>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</si>
  <si>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</si>
  <si>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</si>
  <si>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</si>
  <si>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</si>
  <si>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</si>
  <si>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</si>
  <si>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</si>
  <si>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</si>
  <si>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</si>
  <si>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</si>
  <si>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</si>
  <si>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</si>
  <si>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</si>
  <si>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</si>
  <si>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</si>
  <si>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</si>
  <si>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</si>
  <si>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</si>
  <si>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</si>
  <si>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</si>
  <si>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</si>
  <si>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</si>
  <si>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</si>
  <si>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</si>
  <si>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</si>
  <si>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</si>
  <si>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</si>
  <si>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</si>
  <si>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</si>
  <si>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</si>
  <si>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</si>
  <si>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</si>
  <si>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</si>
  <si>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</si>
  <si>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</si>
  <si>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</si>
  <si>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</si>
  <si>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</si>
  <si>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</si>
  <si>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</si>
  <si>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</si>
  <si>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</si>
  <si>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</si>
  <si>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</si>
  <si>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</si>
  <si>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</si>
  <si>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</si>
  <si>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</si>
  <si>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</si>
  <si>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</si>
  <si>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</si>
  <si>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</si>
  <si>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</si>
  <si>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</si>
  <si>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</si>
  <si>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</si>
  <si>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</si>
  <si>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</si>
  <si>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</si>
  <si>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</si>
  <si>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</si>
  <si>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</si>
  <si>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</si>
  <si>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</si>
  <si>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</si>
  <si>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</si>
  <si>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</si>
  <si>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</si>
  <si>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</si>
  <si>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</si>
  <si>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</si>
  <si>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</si>
  <si>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</si>
  <si>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</si>
  <si>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</si>
  <si>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</si>
  <si>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</si>
  <si>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</si>
  <si>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</si>
  <si>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</si>
  <si>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</si>
  <si>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</si>
  <si>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</si>
  <si>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</si>
  <si>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</si>
  <si>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</si>
  <si>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</si>
  <si>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</si>
  <si>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</si>
  <si>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</si>
  <si>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</si>
  <si>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</si>
  <si>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</si>
  <si>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</si>
  <si>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</si>
  <si>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</si>
  <si>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</si>
  <si>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</si>
  <si>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</si>
  <si>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</si>
  <si>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</si>
  <si>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</si>
  <si>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</si>
  <si>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</si>
  <si>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</si>
  <si>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</si>
  <si>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</si>
  <si>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</si>
  <si>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</si>
  <si>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</si>
  <si>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</si>
  <si>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</si>
  <si>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</si>
  <si>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</si>
  <si>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</si>
  <si>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</si>
  <si>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</si>
  <si>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</si>
  <si>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</si>
  <si>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</si>
  <si>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</si>
  <si>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</si>
  <si>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</si>
  <si>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</si>
  <si>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</si>
  <si>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</si>
  <si>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</si>
  <si>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</si>
  <si>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</si>
  <si>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</si>
  <si>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</si>
  <si>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</si>
  <si>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</si>
  <si>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</si>
  <si>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</si>
  <si>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</si>
  <si>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</si>
  <si>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</si>
  <si>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</si>
  <si>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</si>
  <si>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</si>
  <si>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</si>
  <si>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</si>
  <si>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</si>
  <si>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</si>
  <si>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</si>
  <si>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</si>
  <si>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</si>
  <si>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</si>
  <si>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</si>
  <si>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</si>
  <si>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</si>
  <si>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</si>
  <si>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</si>
  <si>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</si>
  <si>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</si>
  <si>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</si>
  <si>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</si>
  <si>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</si>
  <si>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</si>
  <si>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</si>
  <si>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</si>
  <si>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</si>
  <si>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</si>
  <si>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</si>
  <si>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</si>
  <si>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</si>
  <si>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</si>
  <si>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</si>
  <si>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</si>
  <si>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</si>
  <si>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</si>
  <si>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</si>
  <si>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</si>
  <si>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</si>
  <si>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</si>
  <si>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</si>
  <si>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</si>
  <si>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</si>
  <si>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</si>
  <si>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</si>
  <si>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</si>
  <si>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</si>
  <si>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</si>
  <si>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</si>
  <si>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</si>
  <si>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</si>
  <si>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</si>
  <si>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</si>
  <si>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</si>
  <si>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</si>
  <si>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</si>
  <si>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</si>
  <si>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</si>
  <si>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</si>
  <si>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</si>
  <si>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</si>
  <si>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</si>
  <si>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</si>
  <si>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</si>
  <si>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</si>
  <si>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</si>
  <si>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</si>
  <si>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</si>
  <si>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</si>
  <si>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</si>
  <si>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</si>
  <si>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</si>
  <si>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</si>
  <si>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</si>
  <si>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</si>
  <si>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</si>
  <si>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</si>
  <si>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</si>
  <si>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</si>
  <si>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</si>
  <si>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</si>
  <si>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</si>
  <si>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</si>
  <si>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</si>
  <si>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</si>
  <si>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</si>
  <si>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</si>
  <si>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</si>
  <si>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</si>
  <si>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</si>
  <si>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</si>
  <si>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</si>
  <si>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</si>
  <si>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</si>
  <si>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</si>
  <si>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</si>
  <si>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</si>
  <si>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</si>
  <si>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</si>
  <si>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</si>
  <si>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</si>
  <si>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</si>
  <si>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</si>
  <si>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</si>
  <si>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</si>
  <si>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</si>
  <si>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</si>
  <si>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</si>
  <si>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</si>
  <si>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</si>
  <si>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</si>
  <si>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</si>
  <si>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</si>
  <si>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</si>
  <si>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</si>
  <si>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</si>
  <si>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</si>
  <si>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</si>
  <si>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</si>
  <si>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</si>
  <si>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</si>
  <si>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</si>
  <si>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</si>
  <si>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</si>
  <si>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</si>
  <si>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</si>
  <si>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</si>
  <si>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</si>
  <si>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</si>
  <si>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</si>
  <si>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</si>
  <si>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</si>
  <si>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</si>
  <si>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</si>
  <si>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</si>
  <si>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</si>
  <si>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</si>
  <si>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</si>
  <si>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</si>
  <si>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</si>
  <si>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</si>
  <si>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</si>
  <si>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</si>
  <si>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</si>
  <si>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</si>
  <si>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</si>
  <si>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</si>
  <si>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</si>
  <si>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</si>
  <si>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</si>
  <si>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</si>
  <si>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</si>
  <si>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</si>
  <si>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</si>
  <si>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</si>
  <si>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</si>
  <si>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</si>
  <si>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</si>
  <si>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</si>
  <si>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</si>
  <si>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</si>
  <si>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</si>
  <si>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</si>
  <si>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</si>
  <si>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</si>
  <si>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</si>
  <si>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</si>
  <si>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</si>
  <si>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</si>
  <si>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</si>
  <si>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</si>
  <si>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</si>
  <si>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</si>
  <si>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</si>
  <si>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</si>
  <si>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</si>
  <si>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</si>
  <si>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</si>
  <si>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</si>
  <si>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</si>
  <si>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</si>
  <si>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</si>
  <si>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</si>
  <si>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</si>
  <si>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</si>
  <si>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</si>
  <si>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</si>
  <si>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</si>
  <si>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</si>
  <si>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</si>
  <si>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</si>
  <si>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</si>
  <si>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</si>
  <si>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</si>
  <si>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</si>
  <si>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</si>
  <si>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</si>
  <si>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</si>
  <si>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</si>
  <si>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</si>
  <si>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</si>
  <si>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</si>
  <si>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</si>
  <si>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</si>
  <si>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</si>
  <si>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</si>
  <si>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</si>
  <si>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</si>
  <si>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</si>
  <si>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</si>
  <si>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</si>
  <si>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</si>
  <si>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</si>
  <si>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</si>
  <si>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</si>
  <si>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</si>
  <si>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</si>
  <si>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</si>
  <si>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</si>
  <si>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</si>
  <si>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</si>
  <si>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</si>
  <si>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</si>
  <si>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</si>
  <si>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</si>
  <si>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</si>
  <si>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</si>
  <si>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</si>
  <si>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</si>
  <si>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</si>
  <si>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</si>
  <si>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</si>
  <si>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</si>
  <si>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</si>
  <si>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</si>
  <si>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</si>
  <si>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</si>
  <si>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</si>
  <si>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</si>
  <si>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</si>
  <si>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</si>
  <si>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</si>
  <si>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</si>
  <si>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</si>
  <si>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</si>
  <si>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</si>
  <si>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</si>
  <si>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</si>
  <si>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</si>
  <si>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</si>
  <si>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</si>
  <si>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</si>
  <si>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</si>
  <si>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</si>
  <si>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</si>
  <si>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</si>
  <si>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</si>
  <si>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</si>
  <si>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</si>
  <si>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</si>
  <si>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</si>
  <si>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</si>
  <si>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</si>
  <si>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</si>
  <si>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</si>
  <si>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</si>
  <si>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</si>
  <si>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</si>
  <si>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</si>
  <si>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</si>
  <si>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</si>
  <si>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</si>
  <si>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</si>
  <si>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</si>
  <si>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</si>
  <si>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</si>
  <si>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</si>
  <si>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</si>
  <si>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</si>
  <si>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</si>
  <si>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</si>
  <si>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</si>
  <si>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</si>
  <si>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</si>
  <si>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</si>
  <si>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</si>
  <si>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</si>
  <si>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</si>
  <si>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</si>
  <si>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</si>
  <si>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</si>
  <si>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</si>
  <si>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</si>
  <si>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</si>
  <si>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</si>
  <si>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</si>
  <si>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</si>
  <si>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</si>
  <si>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</si>
  <si>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</si>
  <si>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</si>
  <si>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</si>
  <si>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</si>
  <si>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</si>
  <si>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</si>
  <si>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</si>
  <si>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</si>
  <si>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</si>
  <si>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</si>
  <si>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</si>
  <si>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</si>
  <si>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</si>
  <si>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</si>
  <si>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</si>
  <si>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</si>
  <si>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</si>
  <si>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</si>
  <si>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</si>
  <si>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</si>
  <si>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</si>
  <si>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</si>
  <si>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</si>
  <si>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</si>
  <si>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</si>
  <si>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</si>
  <si>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</si>
  <si>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</si>
  <si>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</si>
  <si>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</si>
  <si>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</si>
  <si>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</si>
  <si>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</si>
  <si>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</si>
  <si>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</si>
  <si>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</si>
  <si>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</si>
  <si>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</si>
  <si>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</si>
  <si>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</si>
  <si>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</si>
  <si>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</si>
  <si>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</si>
  <si>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</si>
  <si>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</si>
  <si>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</si>
  <si>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</si>
  <si>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</si>
  <si>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</si>
  <si>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</si>
  <si>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</si>
  <si>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</si>
  <si>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</si>
  <si>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</si>
  <si>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</si>
  <si>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</si>
  <si>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</si>
  <si>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</si>
  <si>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</si>
  <si>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</si>
  <si>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</si>
  <si>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</si>
  <si>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</si>
  <si>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</si>
  <si>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</si>
  <si>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</si>
  <si>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</si>
  <si>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</si>
  <si>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</si>
  <si>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</si>
  <si>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</si>
  <si>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</si>
  <si>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</si>
  <si>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</si>
  <si>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</si>
  <si>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</si>
  <si>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</si>
  <si>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</si>
  <si>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</si>
  <si>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</si>
  <si>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</si>
  <si>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</si>
  <si>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</si>
  <si>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</si>
  <si>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</si>
  <si>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</si>
  <si>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</si>
  <si>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</si>
  <si>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</si>
  <si>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</si>
  <si>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</si>
  <si>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</si>
  <si>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</si>
  <si>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</si>
  <si>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</si>
  <si>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</si>
  <si>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</si>
  <si>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</si>
  <si>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</si>
  <si>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</si>
  <si>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</si>
  <si>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</si>
  <si>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</si>
  <si>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</si>
  <si>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</si>
  <si>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</si>
  <si>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</si>
  <si>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</si>
  <si>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</si>
  <si>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</si>
  <si>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</si>
  <si>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</si>
  <si>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</si>
  <si>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</si>
  <si>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</si>
  <si>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</si>
  <si>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</si>
  <si>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</si>
  <si>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</si>
  <si>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</si>
  <si>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</si>
  <si>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</si>
  <si>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</si>
  <si>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</si>
  <si>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</si>
  <si>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</si>
  <si>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</si>
  <si>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</si>
  <si>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</si>
  <si>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</si>
  <si>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</si>
  <si>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</si>
  <si>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</si>
  <si>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</si>
  <si>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</si>
  <si>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</si>
  <si>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</si>
  <si>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</si>
  <si>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</si>
  <si>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</si>
  <si>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</si>
  <si>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</si>
  <si>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</si>
  <si>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</si>
  <si>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</si>
  <si>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</si>
  <si>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</si>
  <si>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</si>
  <si>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</si>
  <si>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</si>
  <si>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</si>
  <si>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</si>
  <si>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</si>
  <si>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</si>
  <si>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</si>
  <si>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</si>
  <si>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</si>
  <si>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</si>
  <si>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</si>
  <si>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</si>
  <si>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</si>
  <si>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</si>
  <si>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</si>
  <si>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</si>
  <si>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</si>
  <si>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</si>
  <si>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</si>
  <si>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</si>
  <si>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</si>
  <si>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</si>
  <si>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</si>
  <si>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</si>
  <si>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</si>
  <si>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</si>
  <si>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</si>
  <si>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</si>
  <si>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</si>
  <si>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</si>
  <si>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</si>
  <si>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</si>
  <si>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</si>
  <si>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</si>
  <si>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</si>
  <si>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</si>
  <si>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</si>
  <si>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</si>
  <si>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</si>
  <si>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</si>
  <si>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</si>
  <si>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</si>
  <si>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</si>
  <si>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</si>
  <si>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</si>
  <si>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</si>
  <si>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</si>
  <si>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</si>
  <si>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</si>
  <si>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</si>
  <si>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</si>
  <si>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</si>
  <si>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</si>
  <si>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</si>
  <si>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</si>
  <si>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</si>
  <si>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</si>
  <si>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</si>
  <si>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</si>
  <si>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</si>
  <si>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</si>
  <si>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</si>
  <si>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</si>
  <si>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</si>
  <si>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</si>
  <si>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</si>
  <si>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</si>
  <si>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</si>
  <si>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</si>
  <si>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</si>
  <si>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</si>
  <si>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</si>
  <si>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</si>
  <si>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</si>
  <si>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</si>
  <si>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</si>
  <si>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</si>
  <si>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</si>
  <si>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</si>
  <si>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</si>
  <si>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</si>
  <si>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</si>
  <si>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</si>
  <si>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</si>
  <si>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</si>
  <si>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</si>
  <si>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</si>
  <si>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</si>
  <si>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</si>
  <si>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</si>
  <si>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</si>
  <si>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</si>
  <si>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</si>
  <si>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</si>
  <si>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</si>
  <si>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</si>
  <si>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</si>
  <si>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</si>
  <si>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</si>
  <si>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</si>
  <si>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</si>
  <si>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</si>
  <si>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</si>
  <si>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</si>
  <si>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</si>
  <si>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</si>
  <si>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</si>
  <si>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</si>
  <si>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</si>
  <si>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</si>
  <si>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</si>
  <si>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</si>
  <si>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</si>
  <si>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</si>
  <si>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</si>
  <si>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</si>
  <si>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</si>
  <si>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</si>
  <si>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</si>
  <si>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</si>
  <si>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</si>
  <si>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</si>
  <si>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</si>
  <si>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</si>
  <si>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</si>
  <si>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</si>
  <si>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</si>
  <si>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</si>
  <si>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</si>
  <si>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</si>
  <si>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</si>
  <si>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</si>
  <si>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</si>
  <si>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</si>
  <si>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</si>
  <si>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</si>
  <si>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</si>
  <si>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</si>
  <si>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</si>
  <si>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</si>
  <si>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</si>
  <si>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</si>
  <si>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</si>
  <si>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</si>
  <si>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</si>
  <si>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</si>
  <si>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</si>
  <si>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</si>
  <si>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</si>
  <si>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</si>
  <si>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</si>
  <si>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</si>
  <si>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</si>
  <si>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</si>
  <si>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</si>
  <si>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</si>
  <si>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</si>
  <si>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</si>
  <si>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</si>
  <si>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</si>
  <si>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</si>
  <si>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</si>
  <si>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</si>
  <si>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</si>
  <si>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</si>
  <si>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</si>
  <si>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</si>
  <si>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</si>
  <si>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</si>
  <si>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</si>
  <si>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</si>
  <si>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</si>
  <si>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</si>
  <si>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</si>
  <si>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</si>
  <si>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</si>
  <si>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</si>
  <si>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</si>
  <si>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</si>
  <si>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</si>
  <si>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</si>
  <si>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</si>
  <si>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</si>
  <si>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</si>
  <si>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</si>
  <si>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</si>
  <si>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</si>
  <si>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</si>
  <si>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</si>
  <si>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</si>
  <si>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</si>
  <si>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</si>
  <si>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</si>
  <si>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</si>
  <si>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</si>
  <si>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</si>
  <si>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</si>
  <si>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</si>
  <si>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</si>
  <si>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</si>
  <si>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</si>
  <si>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</si>
  <si>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</si>
  <si>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</si>
  <si>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</si>
  <si>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</si>
  <si>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</si>
  <si>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</si>
  <si>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</si>
  <si>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</si>
  <si>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</si>
  <si>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</si>
  <si>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</si>
  <si>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</si>
  <si>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</si>
  <si>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</si>
  <si>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</si>
  <si>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</si>
  <si>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</si>
  <si>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</si>
  <si>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</si>
  <si>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</si>
  <si>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</si>
  <si>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</si>
  <si>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</si>
  <si>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</si>
  <si>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</si>
  <si>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</si>
  <si>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</si>
  <si>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</si>
  <si>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</si>
  <si>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</si>
  <si>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</si>
  <si>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</si>
  <si>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</si>
  <si>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</si>
  <si>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</si>
  <si>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</si>
  <si>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</si>
  <si>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</si>
  <si>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</si>
  <si>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</si>
  <si>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</si>
  <si>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</si>
  <si>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</si>
  <si>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</si>
  <si>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</si>
  <si>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</si>
  <si>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</si>
  <si>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</si>
  <si>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</si>
  <si>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</si>
  <si>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</si>
  <si>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</si>
  <si>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</si>
  <si>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</si>
  <si>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</si>
  <si>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</si>
  <si>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</si>
  <si>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</si>
  <si>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</si>
  <si>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</si>
  <si>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</si>
  <si>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</si>
  <si>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</si>
  <si>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</si>
  <si>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</si>
  <si>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</si>
  <si>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</si>
  <si>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</si>
  <si>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</si>
  <si>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</si>
  <si>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</si>
  <si>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</si>
  <si>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</si>
  <si>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</si>
  <si>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</si>
  <si>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</si>
  <si>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</si>
  <si>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</si>
  <si>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</si>
  <si>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</si>
  <si>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</si>
  <si>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</si>
  <si>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</si>
  <si>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</si>
  <si>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</si>
  <si>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</si>
  <si>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</si>
  <si>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</si>
  <si>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</si>
  <si>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</si>
  <si>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</si>
  <si>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</si>
  <si>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</si>
  <si>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</si>
  <si>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</si>
  <si>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</si>
  <si>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</si>
  <si>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</si>
  <si>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</si>
  <si>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</si>
  <si>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</si>
  <si>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</si>
  <si>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</si>
  <si>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</si>
  <si>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</si>
  <si>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</si>
  <si>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</si>
  <si>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</si>
  <si>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</si>
  <si>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</si>
  <si>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</si>
  <si>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</si>
  <si>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</si>
  <si>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</si>
  <si>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</si>
  <si>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</si>
  <si>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</si>
  <si>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</si>
  <si>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</si>
  <si>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</si>
  <si>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</si>
  <si>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</si>
  <si>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</si>
  <si>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</si>
  <si>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</si>
  <si>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</si>
  <si>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</si>
  <si>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</si>
  <si>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</si>
  <si>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</si>
  <si>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</si>
  <si>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</si>
  <si>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</si>
  <si>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</si>
  <si>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</si>
  <si>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</si>
  <si>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</si>
  <si>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</si>
  <si>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</si>
  <si>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</si>
  <si>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</si>
  <si>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</si>
  <si>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</si>
  <si>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</si>
  <si>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</si>
  <si>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</si>
  <si>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</si>
  <si>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</si>
  <si>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</si>
  <si>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</si>
  <si>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</si>
  <si>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</si>
  <si>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</si>
  <si>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</si>
  <si>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</si>
  <si>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</si>
  <si>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</si>
  <si>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</si>
  <si>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</si>
  <si>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</si>
  <si>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</si>
  <si>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</si>
  <si>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</si>
  <si>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</si>
  <si>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</si>
  <si>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</si>
  <si>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</si>
  <si>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</si>
  <si>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</si>
  <si>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</si>
  <si>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</si>
  <si>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</si>
  <si>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</si>
  <si>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</si>
  <si>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</si>
  <si>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</si>
  <si>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</si>
  <si>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</si>
  <si>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</si>
  <si>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</si>
  <si>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</si>
  <si>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</si>
  <si>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</si>
  <si>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</si>
  <si>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</si>
  <si>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</si>
  <si>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</si>
  <si>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</si>
  <si>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</si>
  <si>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</si>
  <si>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</si>
  <si>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</si>
  <si>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</si>
  <si>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</si>
  <si>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</si>
  <si>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</si>
  <si>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</si>
  <si>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</si>
  <si>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</si>
  <si>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</si>
  <si>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</si>
  <si>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</si>
  <si>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</si>
  <si>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</si>
  <si>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</si>
  <si>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</si>
  <si>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</si>
  <si>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</si>
  <si>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</si>
  <si>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</si>
  <si>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</si>
  <si>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</si>
  <si>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</si>
  <si>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</si>
  <si>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</si>
  <si>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</si>
  <si>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</si>
  <si>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</si>
  <si>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</si>
  <si>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</si>
  <si>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</si>
  <si>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</si>
  <si>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</si>
  <si>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</si>
  <si>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</si>
  <si>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</si>
  <si>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</si>
  <si>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</si>
  <si>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</si>
  <si>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</si>
  <si>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</si>
  <si>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</si>
  <si>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</si>
  <si>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</si>
  <si>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</si>
  <si>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</si>
  <si>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</si>
  <si>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</si>
  <si>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</si>
  <si>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</si>
  <si>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</si>
  <si>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</si>
  <si>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</si>
  <si>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</si>
  <si>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</si>
  <si>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</si>
  <si>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</si>
  <si>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</si>
  <si>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</si>
  <si>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</si>
  <si>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</si>
  <si>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</si>
  <si>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</si>
  <si>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</si>
  <si>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</si>
  <si>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</si>
  <si>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</si>
  <si>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</si>
  <si>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</si>
  <si>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</si>
  <si>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</si>
  <si>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</si>
  <si>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</si>
  <si>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</si>
  <si>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</si>
  <si>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</si>
  <si>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</si>
  <si>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</si>
  <si>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</si>
  <si>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</si>
  <si>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</si>
  <si>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</si>
  <si>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</si>
  <si>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</si>
  <si>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</si>
  <si>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</si>
  <si>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</si>
  <si>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</si>
  <si>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</si>
  <si>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</si>
  <si>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</si>
  <si>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</si>
  <si>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</si>
  <si>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</si>
  <si>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</si>
  <si>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</si>
  <si>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</si>
  <si>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</si>
  <si>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</si>
  <si>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</si>
  <si>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</si>
  <si>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</si>
  <si>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</si>
  <si>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</si>
  <si>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</si>
  <si>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</si>
  <si>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</si>
  <si>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</si>
  <si>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</si>
  <si>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</si>
  <si>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</si>
  <si>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</si>
  <si>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</si>
  <si>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</si>
  <si>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</si>
  <si>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</si>
  <si>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</si>
  <si>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</si>
  <si>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</si>
  <si>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</si>
  <si>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</si>
  <si>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</si>
  <si>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</si>
  <si>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</si>
  <si>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</si>
  <si>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</si>
  <si>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</si>
  <si>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</si>
  <si>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</si>
  <si>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</si>
  <si>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</si>
  <si>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</si>
  <si>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</si>
  <si>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</si>
  <si>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</si>
  <si>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</si>
  <si>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</si>
  <si>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</si>
  <si>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</si>
  <si>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</si>
  <si>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</si>
  <si>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</si>
  <si>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</si>
  <si>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</si>
  <si>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</si>
  <si>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</si>
  <si>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</si>
  <si>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</si>
  <si>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</si>
  <si>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</si>
  <si>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</si>
  <si>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</si>
  <si>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</si>
  <si>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</si>
  <si>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</si>
  <si>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</si>
  <si>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</si>
  <si>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</si>
  <si>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</si>
  <si>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</si>
  <si>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</si>
  <si>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</si>
  <si>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</si>
  <si>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</si>
  <si>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</si>
  <si>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</si>
  <si>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</si>
  <si>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</si>
  <si>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</si>
  <si>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</si>
  <si>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</si>
  <si>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</si>
  <si>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</si>
  <si>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</si>
  <si>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</si>
  <si>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</si>
  <si>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</si>
  <si>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</si>
  <si>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</si>
  <si>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</si>
  <si>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</si>
  <si>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</si>
  <si>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</si>
  <si>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</si>
  <si>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</si>
  <si>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</si>
  <si>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</si>
  <si>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</si>
  <si>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</si>
  <si>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</si>
  <si>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</si>
  <si>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</si>
  <si>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</si>
  <si>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</si>
  <si>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</si>
  <si>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</si>
  <si>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</si>
  <si>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</si>
  <si>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</si>
  <si>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</si>
  <si>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</si>
  <si>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</si>
  <si>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</si>
  <si>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</si>
  <si>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</si>
  <si>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</si>
  <si>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</si>
  <si>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</si>
  <si>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</si>
  <si>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</si>
  <si>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</si>
  <si>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</si>
  <si>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</si>
  <si>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</si>
  <si>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</si>
  <si>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</si>
  <si>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</si>
  <si>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</si>
  <si>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</si>
  <si>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</si>
  <si>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</si>
  <si>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</si>
  <si>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</si>
  <si>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</si>
  <si>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</si>
  <si>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</si>
  <si>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</si>
  <si>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</si>
  <si>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</si>
  <si>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</si>
  <si>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</si>
  <si>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</si>
  <si>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</si>
  <si>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</si>
  <si>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</si>
  <si>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</si>
  <si>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</si>
  <si>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</si>
  <si>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</si>
  <si>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</si>
  <si>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</si>
  <si>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</si>
  <si>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</si>
  <si>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</si>
  <si>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</si>
  <si>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</si>
  <si>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</si>
  <si>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</si>
  <si>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</si>
  <si>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</si>
  <si>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</si>
  <si>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</si>
  <si>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</si>
  <si>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</si>
  <si>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</si>
  <si>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</si>
  <si>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</si>
  <si>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</si>
  <si>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</si>
  <si>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</si>
  <si>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</si>
  <si>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</si>
  <si>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</si>
  <si>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</si>
  <si>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</si>
  <si>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</si>
  <si>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</si>
  <si>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</si>
  <si>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</si>
  <si>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</si>
  <si>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</si>
  <si>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</si>
  <si>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</si>
  <si>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</si>
  <si>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</si>
  <si>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</si>
  <si>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</si>
  <si>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</si>
  <si>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</si>
  <si>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</si>
  <si>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</si>
  <si>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</si>
  <si>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</si>
  <si>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</si>
  <si>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</si>
  <si>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</si>
  <si>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</si>
  <si>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</si>
  <si>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</si>
  <si>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</si>
  <si>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</si>
  <si>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</si>
  <si>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</si>
  <si>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</si>
  <si>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</si>
  <si>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</si>
  <si>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</si>
  <si>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</si>
  <si>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</si>
  <si>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</si>
  <si>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</si>
  <si>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</si>
  <si>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</si>
  <si>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</si>
  <si>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</si>
  <si>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</si>
  <si>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</si>
  <si>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</si>
  <si>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</si>
  <si>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</si>
  <si>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</si>
  <si>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</si>
  <si>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</si>
  <si>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</si>
  <si>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</si>
  <si>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</si>
  <si>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</si>
  <si>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</si>
  <si>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</si>
  <si>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</si>
  <si>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</si>
  <si>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</si>
  <si>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</si>
  <si>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</si>
  <si>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</si>
  <si>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</si>
  <si>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</si>
  <si>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</si>
  <si>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</si>
  <si>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</si>
  <si>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</si>
  <si>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</si>
  <si>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</si>
  <si>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</si>
  <si>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</si>
  <si>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</si>
  <si>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</si>
  <si>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</si>
  <si>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</si>
  <si>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</si>
  <si>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</si>
  <si>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</si>
  <si>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</si>
  <si>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</si>
  <si>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</si>
  <si>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</si>
  <si>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</si>
  <si>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</si>
  <si>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</si>
  <si>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</si>
  <si>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</si>
  <si>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</si>
  <si>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</si>
  <si>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</si>
  <si>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</si>
  <si>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</si>
  <si>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</si>
  <si>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</si>
  <si>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</si>
  <si>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</si>
  <si>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</si>
  <si>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</si>
  <si>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</si>
  <si>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</si>
  <si>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</si>
  <si>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</si>
  <si>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</si>
  <si>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</si>
  <si>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</si>
  <si>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</si>
  <si>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</si>
  <si>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</si>
  <si>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</si>
  <si>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</si>
  <si>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</si>
  <si>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</si>
  <si>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</si>
  <si>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</si>
  <si>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</si>
  <si>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</si>
  <si>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</si>
  <si>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</si>
  <si>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</si>
  <si>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</si>
  <si>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</si>
  <si>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</si>
  <si>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</si>
  <si>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</si>
  <si>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</si>
  <si>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</si>
  <si>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</si>
  <si>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</si>
  <si>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</si>
  <si>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</si>
  <si>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</si>
  <si>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</si>
  <si>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</si>
  <si>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</si>
  <si>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</si>
  <si>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</si>
  <si>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</si>
  <si>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</si>
  <si>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</si>
  <si>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</si>
  <si>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</si>
  <si>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</si>
  <si>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</si>
  <si>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</si>
  <si>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</si>
  <si>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</si>
  <si>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</si>
  <si>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</si>
  <si>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</si>
  <si>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</si>
  <si>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</si>
  <si>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</si>
  <si>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</si>
  <si>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</si>
  <si>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</si>
  <si>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</si>
  <si>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</si>
  <si>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</si>
  <si>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</si>
  <si>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</si>
  <si>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</si>
  <si>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</si>
  <si>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</si>
  <si>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</si>
  <si>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</si>
  <si>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</si>
  <si>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</si>
  <si>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</si>
  <si>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</si>
  <si>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</si>
  <si>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</si>
  <si>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</si>
  <si>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</si>
  <si>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</si>
  <si>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</si>
  <si>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</si>
  <si>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</si>
  <si>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</si>
  <si>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</si>
  <si>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</si>
  <si>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</si>
  <si>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</si>
  <si>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</si>
  <si>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</si>
  <si>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</si>
  <si>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</si>
  <si>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</si>
  <si>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</si>
  <si>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</si>
  <si>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</si>
  <si>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</si>
  <si>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</si>
  <si>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</si>
  <si>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</si>
  <si>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</si>
  <si>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</si>
  <si>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</si>
  <si>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</si>
  <si>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</si>
  <si>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</si>
  <si>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</si>
  <si>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</si>
  <si>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</si>
  <si>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</si>
  <si>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</si>
  <si>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</si>
  <si>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</si>
  <si>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</si>
  <si>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</si>
  <si>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</si>
  <si>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</si>
  <si>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</si>
  <si>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</si>
  <si>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</si>
  <si>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</si>
  <si>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</si>
  <si>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</si>
  <si>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</si>
  <si>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</si>
  <si>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</si>
  <si>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</si>
  <si>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</si>
  <si>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</si>
  <si>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</si>
  <si>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</si>
  <si>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</si>
  <si>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</si>
  <si>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</si>
  <si>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</si>
  <si>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</si>
  <si>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</si>
  <si>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</si>
  <si>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</si>
  <si>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</si>
  <si>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</si>
  <si>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</si>
  <si>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</si>
  <si>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</si>
  <si>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</si>
  <si>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</si>
  <si>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</si>
  <si>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</si>
  <si>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</si>
  <si>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</si>
  <si>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</si>
  <si>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</si>
  <si>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</si>
  <si>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</si>
  <si>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</si>
  <si>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</si>
  <si>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</si>
  <si>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</si>
  <si>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</si>
  <si>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</si>
  <si>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</si>
  <si>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</si>
  <si>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</si>
  <si>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</si>
  <si>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</si>
  <si>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</si>
  <si>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</si>
  <si>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</si>
  <si>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</si>
  <si>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</si>
  <si>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</si>
  <si>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</si>
  <si>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</si>
  <si>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</si>
  <si>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</si>
  <si>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</si>
  <si>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</si>
  <si>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</si>
  <si>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</si>
  <si>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</si>
  <si>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</si>
  <si>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</si>
  <si>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</si>
  <si>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</si>
  <si>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</si>
  <si>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</si>
  <si>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</si>
  <si>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</si>
  <si>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</si>
  <si>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</si>
  <si>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</si>
  <si>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</si>
  <si>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</si>
  <si>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</si>
  <si>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</si>
  <si>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</si>
  <si>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</si>
  <si>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</si>
  <si>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</si>
  <si>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</si>
  <si>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</si>
  <si>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</si>
  <si>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</si>
  <si>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</si>
  <si>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</si>
  <si>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</si>
  <si>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</si>
  <si>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</si>
  <si>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</si>
  <si>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</si>
  <si>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</si>
  <si>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</si>
  <si>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</si>
  <si>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</si>
  <si>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</si>
  <si>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</si>
  <si>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</si>
  <si>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</si>
  <si>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</si>
  <si>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</si>
  <si>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</si>
  <si>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</si>
  <si>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</si>
  <si>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</si>
  <si>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</si>
  <si>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</si>
  <si>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</si>
  <si>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</si>
  <si>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</si>
  <si>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</si>
  <si>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</si>
  <si>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</si>
  <si>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</si>
  <si>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</si>
  <si>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</si>
  <si>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</si>
  <si>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</si>
  <si>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</si>
  <si>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</si>
  <si>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</si>
  <si>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</si>
  <si>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</si>
  <si>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</si>
  <si>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</si>
  <si>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</si>
  <si>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</si>
  <si>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</si>
  <si>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</si>
  <si>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</si>
  <si>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</si>
  <si>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</si>
  <si>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</si>
  <si>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</si>
  <si>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</si>
  <si>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</si>
  <si>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</si>
  <si>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</si>
  <si>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</si>
  <si>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</si>
  <si>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</si>
  <si>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</si>
  <si>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</si>
  <si>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</si>
  <si>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</si>
  <si>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</si>
  <si>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</si>
  <si>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</si>
  <si>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</si>
  <si>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</si>
  <si>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</si>
  <si>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</si>
  <si>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</si>
  <si>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</si>
  <si>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</si>
  <si>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</si>
  <si>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</si>
  <si>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</si>
  <si>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</si>
  <si>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</si>
  <si>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</si>
  <si>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</si>
  <si>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</si>
  <si>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</si>
  <si>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</si>
  <si>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</si>
  <si>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</si>
  <si>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</si>
  <si>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</si>
  <si>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</si>
  <si>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</si>
  <si>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</si>
  <si>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</si>
  <si>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</si>
  <si>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</si>
  <si>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</si>
  <si>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</si>
  <si>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</si>
  <si>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</si>
  <si>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</si>
  <si>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</si>
  <si>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</si>
  <si>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</si>
  <si>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</si>
  <si>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</si>
  <si>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</si>
  <si>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</si>
  <si>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</si>
  <si>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</si>
  <si>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</si>
  <si>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</si>
  <si>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</si>
  <si>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</si>
  <si>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</si>
  <si>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</si>
  <si>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</si>
  <si>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</si>
  <si>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</si>
  <si>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</si>
  <si>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</si>
  <si>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</si>
  <si>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</si>
  <si>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</si>
  <si>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</si>
  <si>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</si>
  <si>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</si>
  <si>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</si>
  <si>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</si>
  <si>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</si>
  <si>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</si>
  <si>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</si>
  <si>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</si>
  <si>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</si>
  <si>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</si>
  <si>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</si>
  <si>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</si>
  <si>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</si>
  <si>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</si>
  <si>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</si>
  <si>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</si>
  <si>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</si>
  <si>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</si>
  <si>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</si>
  <si>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</si>
  <si>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</si>
  <si>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</si>
  <si>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</si>
  <si>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</si>
  <si>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</si>
  <si>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</si>
  <si>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</si>
  <si>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</si>
  <si>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</si>
  <si>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</si>
  <si>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</si>
  <si>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</si>
  <si>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</si>
  <si>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</si>
  <si>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</si>
  <si>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</si>
  <si>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</si>
  <si>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</si>
  <si>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</si>
  <si>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</si>
  <si>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</si>
  <si>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</si>
  <si>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</si>
  <si>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</si>
  <si>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</si>
  <si>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</si>
  <si>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</si>
  <si>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</si>
  <si>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</si>
  <si>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</si>
  <si>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</si>
  <si>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</si>
  <si>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</si>
  <si>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</si>
  <si>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</si>
  <si>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</si>
  <si>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</si>
  <si>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</si>
  <si>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</si>
  <si>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</si>
  <si>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</si>
  <si>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</si>
  <si>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</si>
  <si>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</si>
  <si>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</si>
  <si>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</si>
  <si>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</si>
  <si>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</si>
  <si>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</si>
  <si>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</si>
  <si>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</si>
  <si>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</si>
  <si>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</si>
  <si>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</si>
  <si>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</si>
  <si>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</si>
  <si>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</si>
  <si>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</si>
  <si>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</si>
  <si>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</si>
  <si>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</si>
  <si>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</si>
  <si>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</si>
  <si>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</si>
  <si>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</si>
  <si>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</si>
  <si>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</si>
  <si>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</si>
  <si>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</si>
  <si>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</si>
  <si>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</si>
  <si>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</si>
  <si>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</si>
  <si>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</si>
  <si>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</si>
  <si>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</si>
  <si>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</si>
  <si>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</si>
  <si>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</si>
  <si>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</si>
  <si>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</si>
  <si>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</si>
  <si>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</si>
  <si>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</si>
  <si>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</si>
  <si>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</si>
  <si>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</si>
  <si>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</si>
  <si>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</si>
  <si>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</si>
  <si>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</si>
  <si>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</si>
  <si>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</si>
  <si>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</si>
  <si>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</si>
  <si>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</si>
  <si>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</si>
  <si>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</si>
  <si>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</si>
  <si>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</si>
  <si>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</si>
  <si>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</si>
  <si>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</si>
  <si>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</si>
  <si>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</si>
  <si>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</si>
  <si>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</si>
  <si>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</si>
  <si>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</si>
  <si>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</si>
  <si>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</si>
  <si>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</si>
  <si>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</si>
  <si>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</si>
  <si>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</si>
  <si>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</si>
  <si>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</si>
  <si>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</si>
  <si>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</si>
  <si>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</si>
  <si>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</si>
  <si>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</si>
  <si>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</si>
  <si>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</si>
  <si>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</si>
  <si>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</si>
  <si>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</si>
  <si>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</si>
  <si>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</si>
  <si>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</si>
  <si>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</si>
  <si>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</si>
  <si>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</si>
  <si>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</si>
  <si>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</si>
  <si>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</si>
  <si>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</si>
  <si>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</si>
  <si>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</si>
  <si>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</si>
  <si>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</si>
  <si>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</si>
  <si>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</si>
  <si>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</si>
  <si>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</si>
  <si>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</si>
  <si>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</si>
  <si>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</si>
  <si>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</si>
  <si>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</si>
  <si>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</si>
  <si>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</si>
  <si>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</si>
  <si>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</si>
  <si>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</si>
  <si>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</si>
  <si>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</si>
  <si>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</si>
  <si>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</si>
  <si>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</si>
  <si>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</si>
  <si>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</si>
  <si>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</si>
  <si>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</si>
  <si>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</si>
  <si>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</si>
  <si>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</si>
  <si>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</si>
  <si>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</si>
  <si>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</si>
  <si>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</si>
  <si>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</si>
  <si>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</si>
  <si>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</si>
  <si>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</si>
  <si>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</si>
  <si>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</si>
  <si>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</si>
  <si>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</si>
  <si>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</si>
  <si>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</si>
  <si>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</si>
  <si>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</si>
  <si>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</si>
  <si>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</si>
  <si>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</si>
  <si>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</si>
  <si>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</si>
  <si>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</si>
  <si>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</si>
  <si>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</si>
  <si>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</si>
  <si>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</si>
  <si>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</si>
  <si>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</si>
  <si>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</si>
  <si>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</si>
  <si>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</si>
  <si>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</si>
  <si>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</si>
  <si>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</si>
  <si>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</si>
  <si>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</si>
  <si>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</si>
  <si>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</si>
  <si>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</si>
  <si>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</si>
  <si>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</si>
  <si>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</si>
  <si>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</si>
  <si>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</si>
  <si>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</si>
  <si>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</si>
  <si>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</si>
  <si>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</si>
  <si>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</si>
  <si>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</si>
  <si>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</si>
  <si>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</si>
  <si>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</si>
  <si>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</si>
  <si>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</si>
  <si>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</si>
  <si>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</si>
  <si>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</si>
  <si>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</si>
  <si>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</si>
  <si>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</si>
  <si>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</si>
  <si>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</si>
  <si>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</si>
  <si>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</si>
  <si>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</si>
  <si>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</si>
  <si>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</si>
  <si>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</si>
  <si>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</si>
  <si>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</si>
  <si>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</si>
  <si>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</si>
  <si>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</si>
  <si>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</si>
  <si>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</si>
  <si>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</si>
  <si>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</si>
  <si>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</si>
  <si>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</si>
  <si>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</si>
  <si>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</si>
  <si>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</si>
  <si>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</si>
  <si>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</si>
  <si>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</si>
  <si>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</si>
  <si>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</si>
  <si>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</si>
  <si>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</si>
  <si>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</si>
  <si>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</si>
  <si>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</si>
  <si>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</si>
  <si>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</si>
  <si>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</si>
  <si>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</si>
  <si>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</si>
  <si>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</si>
  <si>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</si>
  <si>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</si>
  <si>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</si>
  <si>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</si>
  <si>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</si>
  <si>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</si>
  <si>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</si>
  <si>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</si>
  <si>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</si>
  <si>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</si>
  <si>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</si>
  <si>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</si>
  <si>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</si>
  <si>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</si>
  <si>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</si>
  <si>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</si>
  <si>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</si>
  <si>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</si>
  <si>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</si>
  <si>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</si>
  <si>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</si>
  <si>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</si>
  <si>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</si>
  <si>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</si>
  <si>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</si>
  <si>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</si>
  <si>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</si>
  <si>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</si>
  <si>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</si>
  <si>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</si>
  <si>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</si>
  <si>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</si>
  <si>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</si>
  <si>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</si>
  <si>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</si>
  <si>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</si>
  <si>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</si>
  <si>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</si>
  <si>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</si>
  <si>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</si>
  <si>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</si>
  <si>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</si>
  <si>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</si>
  <si>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</si>
  <si>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</si>
  <si>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</si>
  <si>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</si>
  <si>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</si>
  <si>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</si>
  <si>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</si>
  <si>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</si>
  <si>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</si>
  <si>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</si>
  <si>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</si>
  <si>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</si>
  <si>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</si>
  <si>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</si>
  <si>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</si>
  <si>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</si>
  <si>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</si>
  <si>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</si>
  <si>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</si>
  <si>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</si>
  <si>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</si>
  <si>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</si>
  <si>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</si>
  <si>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</si>
  <si>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</si>
  <si>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</si>
  <si>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</si>
  <si>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</si>
  <si>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</si>
  <si>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</si>
  <si>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</si>
  <si>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</si>
  <si>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</si>
  <si>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</si>
  <si>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</si>
  <si>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</si>
  <si>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</si>
  <si>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</si>
  <si>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</si>
  <si>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</si>
  <si>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</si>
  <si>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</si>
  <si>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</si>
  <si>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</si>
  <si>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</si>
  <si>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</si>
  <si>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</si>
  <si>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</si>
  <si>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</si>
  <si>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</si>
  <si>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</si>
  <si>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</si>
  <si>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</si>
  <si>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</si>
  <si>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</si>
  <si>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</si>
  <si>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</si>
  <si>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</si>
  <si>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</si>
  <si>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</si>
  <si>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</si>
  <si>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</si>
  <si>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</si>
  <si>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</si>
  <si>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</si>
  <si>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</si>
  <si>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</si>
  <si>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</si>
  <si>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</si>
  <si>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</si>
  <si>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</si>
  <si>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</si>
  <si>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</si>
  <si>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</si>
  <si>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</si>
  <si>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</si>
  <si>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</si>
  <si>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</si>
  <si>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</si>
  <si>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</si>
  <si>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</si>
  <si>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</si>
  <si>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</si>
  <si>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</si>
  <si>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</si>
  <si>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</si>
  <si>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</si>
  <si>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</si>
  <si>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</si>
  <si>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</si>
  <si>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</si>
  <si>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</si>
  <si>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</si>
  <si>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</si>
  <si>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</si>
  <si>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</si>
  <si>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</si>
  <si>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</si>
  <si>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</si>
  <si>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</si>
  <si>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</si>
  <si>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</si>
  <si>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</si>
  <si>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</si>
  <si>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</si>
  <si>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</si>
  <si>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</si>
  <si>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</si>
  <si>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</si>
  <si>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</si>
  <si>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</si>
  <si>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</si>
  <si>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</si>
  <si>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</si>
  <si>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</si>
  <si>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</si>
  <si>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</si>
  <si>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</si>
  <si>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</si>
  <si>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</si>
  <si>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</si>
  <si>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</si>
  <si>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</si>
  <si>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</si>
  <si>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</si>
  <si>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</si>
  <si>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</si>
  <si>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</si>
  <si>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</si>
  <si>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</si>
  <si>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</si>
  <si>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</si>
  <si>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</si>
  <si>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</si>
  <si>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</si>
  <si>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</si>
  <si>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</si>
  <si>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</si>
  <si>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</si>
  <si>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</si>
  <si>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</si>
  <si>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</si>
  <si>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</si>
  <si>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</si>
  <si>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</si>
  <si>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</si>
  <si>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</si>
  <si>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</si>
  <si>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</si>
  <si>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</si>
  <si>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</si>
  <si>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</si>
  <si>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</si>
  <si>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</si>
  <si>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</si>
  <si>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</si>
  <si>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</si>
  <si>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</si>
  <si>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</si>
  <si>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</si>
  <si>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</si>
  <si>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</si>
  <si>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</si>
  <si>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</si>
  <si>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</si>
  <si>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</si>
  <si>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</si>
  <si>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</si>
  <si>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</si>
  <si>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</si>
  <si>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</si>
  <si>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</si>
  <si>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</si>
  <si>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</si>
  <si>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</si>
  <si>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</si>
  <si>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</si>
  <si>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</si>
  <si>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</si>
  <si>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</si>
  <si>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</si>
  <si>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</si>
  <si>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</si>
  <si>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</si>
  <si>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</si>
  <si>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</si>
  <si>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</si>
  <si>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</si>
  <si>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</si>
  <si>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</si>
  <si>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</si>
  <si>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</si>
  <si>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</si>
  <si>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</si>
  <si>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</si>
  <si>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</si>
  <si>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</si>
  <si>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</si>
  <si>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</si>
  <si>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</si>
  <si>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</si>
  <si>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</si>
  <si>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</si>
  <si>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</si>
  <si>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</si>
  <si>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</si>
  <si>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</si>
  <si>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</si>
  <si>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</si>
  <si>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</si>
  <si>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</si>
  <si>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</si>
  <si>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</si>
  <si>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</si>
  <si>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</si>
  <si>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</si>
  <si>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</si>
  <si>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</si>
  <si>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</si>
  <si>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</si>
  <si>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</si>
  <si>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</si>
  <si>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</si>
  <si>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</si>
  <si>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</si>
  <si>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</si>
  <si>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</si>
  <si>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</si>
  <si>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</si>
  <si>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</si>
  <si>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</si>
  <si>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</si>
  <si>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</si>
  <si>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</si>
  <si>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</si>
  <si>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</si>
  <si>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</si>
  <si>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</si>
  <si>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</si>
  <si>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</si>
  <si>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</si>
  <si>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</si>
  <si>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</si>
  <si>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</si>
  <si>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</si>
  <si>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</si>
  <si>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</si>
  <si>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</si>
  <si>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</si>
  <si>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</si>
  <si>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</si>
  <si>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</si>
  <si>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</si>
  <si>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</si>
  <si>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</si>
  <si>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</si>
  <si>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</si>
  <si>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</si>
  <si>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</si>
  <si>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</si>
  <si>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</si>
  <si>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</si>
  <si>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</si>
  <si>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</si>
  <si>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</si>
  <si>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</si>
  <si>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</si>
  <si>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</si>
  <si>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</si>
  <si>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</si>
  <si>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</si>
  <si>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</si>
  <si>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</si>
  <si>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</si>
  <si>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</si>
  <si>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</si>
  <si>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</si>
  <si>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</si>
  <si>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</si>
  <si>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</si>
  <si>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</si>
  <si>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</si>
  <si>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</si>
  <si>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</si>
  <si>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</si>
  <si>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</si>
  <si>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</si>
  <si>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</si>
  <si>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</si>
  <si>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</si>
  <si>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</si>
  <si>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</si>
  <si>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</si>
  <si>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</si>
  <si>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</si>
  <si>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</si>
  <si>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</si>
  <si>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</si>
  <si>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</si>
  <si>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</si>
  <si>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</si>
  <si>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</si>
  <si>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</si>
  <si>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</si>
  <si>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</si>
  <si>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</si>
  <si>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</si>
  <si>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</si>
  <si>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</si>
  <si>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</si>
  <si>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</si>
  <si>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</si>
  <si>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</si>
  <si>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</si>
  <si>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</si>
  <si>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</si>
  <si>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</si>
  <si>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</si>
  <si>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</si>
  <si>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</si>
  <si>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</si>
  <si>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</si>
  <si>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</si>
  <si>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</si>
  <si>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</si>
  <si>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</si>
  <si>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</si>
  <si>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</si>
  <si>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</si>
  <si>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</si>
  <si>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</si>
  <si>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</si>
  <si>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</si>
  <si>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</si>
  <si>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</si>
  <si>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</si>
  <si>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</si>
  <si>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</si>
  <si>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</si>
  <si>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</si>
  <si>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</si>
  <si>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</si>
  <si>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</si>
  <si>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</si>
  <si>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</si>
  <si>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</si>
  <si>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</si>
  <si>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</si>
  <si>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</si>
  <si>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</si>
  <si>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</si>
  <si>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</si>
  <si>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</si>
  <si>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</si>
  <si>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</si>
  <si>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</si>
  <si>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</si>
  <si>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</si>
  <si>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</si>
  <si>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</si>
  <si>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</si>
  <si>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</si>
  <si>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</si>
  <si>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</si>
  <si>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</si>
  <si>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</si>
  <si>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</si>
  <si>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</si>
  <si>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</si>
  <si>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</si>
  <si>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</si>
  <si>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</si>
  <si>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</si>
  <si>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</si>
  <si>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</si>
  <si>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</si>
  <si>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</si>
  <si>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</si>
  <si>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</si>
  <si>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</si>
  <si>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</si>
  <si>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</si>
  <si>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</si>
  <si>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</si>
  <si>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</si>
  <si>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</si>
  <si>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</si>
  <si>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</si>
  <si>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</si>
  <si>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</si>
  <si>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</si>
  <si>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</si>
  <si>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</si>
  <si>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</si>
  <si>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</si>
  <si>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</si>
  <si>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</si>
  <si>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</si>
  <si>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</si>
  <si>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</si>
  <si>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</si>
  <si>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</si>
  <si>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</si>
  <si>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</si>
  <si>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</si>
  <si>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</si>
  <si>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</si>
  <si>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</si>
  <si>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</si>
  <si>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</si>
  <si>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</si>
  <si>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</si>
  <si>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</si>
  <si>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</si>
  <si>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</si>
  <si>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</si>
  <si>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</si>
  <si>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</si>
  <si>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</si>
  <si>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</si>
  <si>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</si>
  <si>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</si>
  <si>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</si>
  <si>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</si>
  <si>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</si>
  <si>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</si>
  <si>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</si>
  <si>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</si>
  <si>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</si>
  <si>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</si>
  <si>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</si>
  <si>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</si>
  <si>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</si>
  <si>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</si>
  <si>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</si>
  <si>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</si>
  <si>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</si>
  <si>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</si>
  <si>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</si>
  <si>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</si>
  <si>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</si>
  <si>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</si>
  <si>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</si>
  <si>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</si>
  <si>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</si>
  <si>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</si>
  <si>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</si>
  <si>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</si>
  <si>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</si>
  <si>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</si>
  <si>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</si>
  <si>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</si>
  <si>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</si>
  <si>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</si>
  <si>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</si>
  <si>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</si>
  <si>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</si>
  <si>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</si>
  <si>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</si>
  <si>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</si>
  <si>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</si>
  <si>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</si>
  <si>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</si>
  <si>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</si>
  <si>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</si>
  <si>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</si>
  <si>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</si>
  <si>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</si>
  <si>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</si>
  <si>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</si>
  <si>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</si>
  <si>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</si>
  <si>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</si>
  <si>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</si>
  <si>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</si>
  <si>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</si>
  <si>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</si>
  <si>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</si>
  <si>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</si>
  <si>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</si>
  <si>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</si>
  <si>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</si>
  <si>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</si>
  <si>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</si>
  <si>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</si>
  <si>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</si>
  <si>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</si>
  <si>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</si>
  <si>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</si>
  <si>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</si>
  <si>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</si>
  <si>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</si>
  <si>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</si>
  <si>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</si>
  <si>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</si>
  <si>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</si>
  <si>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</si>
  <si>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</si>
  <si>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</si>
  <si>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</si>
  <si>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</si>
  <si>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</si>
  <si>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</si>
  <si>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</si>
  <si>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</si>
  <si>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</si>
  <si>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</si>
  <si>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</si>
  <si>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</si>
  <si>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</si>
  <si>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</si>
  <si>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</si>
  <si>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</si>
  <si>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</si>
  <si>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</si>
  <si>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</si>
  <si>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</si>
  <si>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</si>
  <si>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</si>
  <si>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</si>
  <si>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</si>
  <si>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</si>
  <si>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</si>
  <si>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</si>
  <si>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</si>
  <si>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</si>
  <si>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</si>
  <si>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</si>
  <si>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</si>
  <si>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</si>
  <si>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</si>
  <si>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</si>
  <si>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</si>
  <si>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</si>
  <si>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</si>
  <si>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</si>
  <si>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</si>
  <si>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</si>
  <si>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</si>
  <si>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</si>
  <si>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</si>
  <si>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</si>
  <si>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</si>
  <si>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</si>
  <si>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</si>
  <si>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</si>
  <si>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</si>
  <si>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</si>
  <si>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</si>
  <si>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</si>
  <si>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</si>
  <si>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</si>
  <si>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</si>
  <si>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</si>
  <si>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</si>
  <si>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</si>
  <si>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</si>
  <si>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</si>
  <si>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</si>
  <si>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</si>
  <si>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</si>
  <si>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</si>
  <si>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</si>
  <si>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</si>
  <si>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</si>
  <si>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</si>
  <si>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</si>
  <si>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</si>
  <si>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</si>
  <si>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</si>
  <si>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</si>
  <si>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</si>
  <si>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</si>
  <si>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</si>
  <si>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</si>
  <si>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</si>
  <si>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</si>
  <si>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</si>
  <si>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</si>
  <si>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</si>
  <si>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</si>
  <si>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</si>
  <si>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</si>
  <si>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</si>
  <si>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</si>
  <si>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</si>
  <si>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</si>
  <si>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</si>
  <si>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</si>
  <si>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</si>
  <si>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</si>
  <si>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</si>
  <si>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</si>
  <si>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</si>
  <si>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</si>
  <si>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</si>
  <si>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</si>
  <si>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</si>
  <si>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</si>
  <si>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</si>
  <si>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</si>
  <si>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</si>
  <si>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</si>
  <si>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</si>
  <si>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</si>
  <si>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</si>
  <si>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</si>
  <si>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</si>
  <si>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</si>
  <si>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</si>
  <si>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</si>
  <si>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</si>
  <si>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</si>
  <si>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</si>
  <si>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</si>
  <si>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</si>
  <si>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</si>
  <si>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</si>
  <si>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</si>
  <si>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</si>
  <si>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</si>
  <si>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</si>
  <si>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</si>
  <si>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</si>
  <si>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</si>
  <si>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</si>
  <si>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</si>
  <si>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</si>
  <si>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</si>
  <si>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</si>
  <si>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</si>
  <si>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</si>
  <si>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</si>
  <si>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</si>
  <si>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</si>
  <si>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</si>
  <si>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</si>
  <si>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</si>
  <si>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</si>
  <si>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</si>
  <si>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</si>
  <si>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</si>
  <si>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</si>
  <si>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</si>
  <si>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</si>
  <si>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</si>
  <si>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</si>
  <si>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</si>
  <si>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</si>
  <si>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</si>
  <si>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</si>
  <si>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</si>
  <si>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</si>
  <si>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</si>
  <si>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</si>
  <si>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</si>
  <si>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</si>
  <si>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</si>
  <si>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</si>
  <si>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</si>
  <si>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</si>
  <si>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</si>
  <si>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</si>
  <si>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</si>
  <si>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</si>
  <si>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</si>
  <si>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</si>
  <si>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</si>
  <si>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</si>
  <si>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</si>
  <si>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</si>
  <si>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</si>
  <si>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</si>
  <si>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</si>
  <si>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</si>
  <si>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</si>
  <si>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</si>
  <si>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</si>
  <si>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</si>
  <si>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</si>
  <si>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</si>
  <si>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</si>
  <si>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</si>
  <si>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</si>
  <si>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</si>
  <si>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</si>
  <si>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</si>
  <si>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</si>
  <si>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</si>
  <si>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</si>
  <si>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</si>
  <si>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</si>
  <si>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</si>
  <si>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</si>
  <si>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</si>
  <si>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</si>
  <si>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</si>
  <si>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</si>
  <si>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</si>
  <si>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</si>
  <si>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</si>
  <si>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</si>
  <si>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</si>
  <si>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</si>
  <si>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</si>
  <si>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</si>
  <si>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</si>
  <si>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</si>
  <si>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</si>
  <si>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</si>
  <si>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</si>
  <si>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</si>
  <si>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</si>
  <si>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</si>
  <si>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</si>
  <si>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</si>
  <si>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</si>
  <si>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</si>
  <si>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</si>
  <si>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</si>
  <si>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</si>
  <si>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</si>
  <si>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</si>
  <si>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</si>
  <si>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</si>
  <si>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</si>
  <si>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</si>
  <si>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</si>
  <si>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</si>
  <si>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</si>
  <si>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</si>
  <si>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</si>
  <si>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</si>
  <si>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</si>
  <si>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</si>
  <si>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</si>
  <si>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</si>
  <si>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</si>
  <si>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</si>
  <si>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</si>
  <si>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</si>
  <si>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</si>
  <si>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</si>
  <si>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</si>
  <si>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</si>
  <si>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</si>
  <si>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</si>
  <si>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</si>
  <si>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</si>
  <si>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</si>
  <si>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</si>
  <si>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</si>
  <si>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</si>
  <si>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</si>
  <si>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</si>
  <si>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</si>
  <si>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</si>
  <si>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</si>
  <si>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</si>
  <si>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</si>
  <si>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</si>
  <si>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</si>
  <si>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</si>
  <si>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</si>
  <si>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</si>
  <si>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</si>
  <si>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</si>
  <si>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</si>
  <si>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</si>
  <si>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</si>
  <si>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</si>
  <si>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</si>
  <si>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</si>
  <si>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</si>
  <si>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</si>
  <si>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</si>
  <si>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</si>
  <si>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</si>
  <si>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</si>
  <si>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</si>
  <si>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</si>
  <si>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</si>
  <si>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</si>
  <si>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</si>
  <si>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</si>
  <si>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</si>
  <si>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</si>
  <si>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</si>
  <si>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</si>
  <si>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</si>
  <si>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</si>
  <si>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</si>
  <si>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</si>
  <si>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</si>
  <si>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</si>
  <si>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</si>
  <si>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</si>
  <si>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</si>
  <si>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</si>
  <si>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</si>
  <si>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</si>
  <si>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</si>
  <si>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</si>
  <si>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</si>
  <si>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</si>
  <si>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</si>
  <si>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</si>
  <si>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</si>
  <si>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</si>
  <si>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</si>
  <si>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</si>
  <si>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</si>
  <si>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</si>
  <si>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</si>
  <si>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</si>
  <si>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</si>
  <si>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</si>
  <si>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</si>
  <si>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</si>
  <si>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</si>
  <si>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</si>
  <si>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</si>
  <si>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</si>
  <si>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</si>
  <si>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</si>
  <si>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</si>
  <si>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</si>
  <si>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</si>
  <si>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</si>
  <si>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</si>
  <si>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</si>
  <si>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</si>
  <si>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</si>
  <si>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</si>
  <si>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</si>
  <si>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</si>
  <si>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</si>
  <si>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</si>
  <si>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</si>
  <si>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</si>
  <si>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</si>
  <si>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</si>
  <si>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</si>
  <si>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</si>
  <si>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</si>
  <si>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</si>
  <si>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</si>
  <si>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</si>
  <si>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</si>
  <si>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</si>
  <si>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</si>
  <si>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</si>
  <si>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</si>
  <si>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</si>
  <si>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</si>
  <si>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</si>
  <si>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</si>
  <si>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</si>
  <si>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</si>
  <si>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</si>
  <si>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</si>
  <si>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</si>
  <si>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</si>
  <si>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</si>
  <si>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</si>
  <si>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</si>
  <si>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</si>
  <si>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</si>
  <si>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</si>
  <si>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</si>
  <si>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</si>
  <si>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</si>
  <si>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</si>
  <si>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</si>
  <si>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</si>
  <si>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</si>
  <si>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</si>
  <si>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</si>
  <si>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</si>
  <si>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</si>
  <si>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</si>
  <si>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</si>
  <si>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</si>
  <si>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</si>
  <si>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</si>
  <si>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</si>
  <si>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</si>
  <si>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</si>
  <si>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</si>
  <si>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</si>
  <si>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</si>
  <si>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</si>
  <si>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</si>
  <si>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</si>
  <si>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</si>
  <si>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</si>
  <si>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</si>
  <si>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</si>
  <si>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</si>
  <si>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</si>
  <si>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</si>
  <si>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</si>
  <si>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</si>
  <si>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</si>
  <si>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</si>
  <si>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</si>
  <si>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</si>
  <si>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</si>
  <si>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</si>
  <si>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</si>
  <si>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</si>
  <si>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</si>
  <si>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</si>
  <si>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</si>
  <si>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</si>
  <si>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</si>
  <si>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</si>
  <si>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</si>
  <si>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</si>
  <si>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</si>
  <si>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</si>
  <si>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</si>
  <si>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</si>
  <si>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</si>
  <si>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</si>
  <si>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</si>
  <si>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</si>
  <si>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</si>
  <si>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</si>
  <si>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</si>
  <si>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</si>
  <si>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</si>
  <si>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</si>
  <si>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</si>
  <si>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</si>
  <si>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</si>
  <si>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</si>
  <si>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</si>
  <si>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</si>
  <si>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</si>
  <si>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</si>
  <si>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</si>
  <si>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</si>
  <si>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</si>
  <si>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</si>
  <si>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</si>
  <si>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</si>
  <si>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</si>
  <si>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</si>
  <si>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</si>
  <si>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</si>
  <si>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</si>
  <si>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</si>
  <si>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</si>
  <si>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</si>
  <si>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</si>
  <si>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</si>
  <si>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</si>
  <si>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</si>
  <si>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</si>
  <si>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</si>
  <si>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</si>
  <si>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</si>
  <si>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</si>
  <si>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</si>
  <si>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</si>
  <si>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</si>
  <si>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</si>
  <si>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</si>
  <si>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</si>
  <si>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</si>
  <si>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</si>
  <si>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</si>
  <si>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</si>
  <si>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</si>
  <si>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</si>
  <si>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</si>
  <si>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</si>
  <si>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</si>
  <si>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</si>
  <si>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</si>
  <si>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</si>
  <si>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</si>
  <si>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</si>
  <si>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</si>
  <si>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</si>
  <si>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</si>
  <si>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</si>
  <si>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</si>
  <si>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</si>
  <si>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</si>
  <si>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</si>
  <si>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</si>
  <si>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</si>
  <si>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</si>
  <si>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</si>
  <si>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</si>
  <si>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</si>
  <si>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</si>
  <si>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</si>
  <si>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</si>
  <si>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</si>
  <si>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</si>
  <si>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</si>
  <si>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</si>
  <si>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</si>
  <si>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</si>
  <si>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</si>
  <si>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</si>
  <si>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</si>
  <si>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</si>
  <si>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</si>
  <si>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</si>
  <si>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</si>
  <si>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</si>
  <si>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</si>
  <si>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</si>
  <si>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</si>
  <si>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</si>
  <si>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</si>
  <si>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</si>
  <si>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</si>
  <si>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</si>
  <si>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</si>
  <si>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</si>
  <si>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</si>
  <si>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</si>
  <si>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</si>
  <si>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</si>
  <si>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</si>
  <si>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</si>
  <si>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</si>
  <si>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</si>
  <si>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</si>
  <si>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</si>
  <si>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</si>
  <si>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</si>
  <si>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</si>
  <si>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</si>
  <si>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</si>
  <si>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</si>
  <si>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</si>
  <si>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</si>
  <si>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</si>
  <si>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</si>
  <si>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</si>
  <si>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</si>
  <si>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</si>
  <si>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</si>
  <si>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</si>
  <si>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</si>
  <si>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</si>
  <si>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</si>
  <si>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</si>
  <si>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</si>
  <si>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</si>
  <si>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</si>
  <si>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</si>
  <si>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</si>
  <si>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</si>
  <si>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</si>
  <si>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</si>
  <si>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</si>
  <si>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</si>
  <si>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</si>
  <si>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</si>
  <si>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</si>
  <si>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</si>
  <si>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</si>
  <si>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</si>
  <si>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</si>
  <si>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</si>
  <si>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</si>
  <si>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</si>
  <si>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</si>
  <si>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</si>
  <si>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</si>
  <si>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</si>
  <si>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</si>
  <si>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</si>
  <si>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</si>
  <si>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</si>
  <si>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</si>
  <si>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</si>
  <si>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</si>
  <si>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</si>
  <si>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</si>
  <si>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</si>
  <si>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</si>
  <si>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</si>
  <si>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</si>
  <si>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</si>
  <si>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</si>
  <si>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</si>
  <si>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</si>
  <si>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</si>
  <si>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</si>
  <si>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</si>
  <si>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</si>
  <si>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</si>
  <si>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</si>
  <si>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</si>
  <si>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</si>
  <si>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</si>
  <si>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</si>
  <si>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</si>
  <si>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</si>
  <si>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</si>
  <si>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</si>
  <si>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</si>
  <si>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</si>
  <si>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</si>
  <si>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</si>
  <si>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</si>
  <si>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</si>
  <si>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</si>
  <si>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</si>
  <si>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</si>
  <si>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</si>
  <si>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</si>
  <si>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</si>
  <si>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</si>
  <si>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</si>
  <si>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</si>
  <si>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</si>
  <si>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</si>
  <si>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</si>
  <si>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</si>
  <si>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</si>
  <si>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</si>
  <si>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</si>
  <si>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</si>
  <si>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</si>
  <si>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</si>
  <si>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</si>
  <si>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</si>
  <si>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</si>
  <si>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</si>
  <si>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</si>
  <si>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</si>
  <si>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</si>
  <si>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</si>
  <si>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</si>
  <si>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</si>
  <si>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</si>
  <si>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</si>
  <si>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</si>
  <si>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</si>
  <si>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</si>
  <si>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</si>
  <si>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</si>
  <si>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</si>
  <si>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</si>
  <si>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</si>
  <si>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</si>
  <si>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</si>
  <si>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</si>
  <si>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</si>
  <si>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</si>
  <si>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</si>
  <si>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</si>
  <si>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</si>
  <si>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</si>
  <si>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</si>
  <si>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</si>
  <si>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</si>
  <si>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</si>
  <si>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</si>
  <si>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</si>
  <si>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</si>
  <si>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</si>
  <si>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</si>
  <si>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</si>
  <si>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</si>
  <si>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</si>
  <si>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</si>
  <si>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</si>
  <si>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</si>
  <si>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</si>
  <si>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</si>
  <si>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</si>
  <si>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</si>
  <si>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</si>
  <si>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</si>
  <si>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</si>
  <si>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</si>
  <si>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</si>
  <si>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</si>
  <si>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</si>
  <si>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</si>
  <si>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</si>
  <si>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</si>
  <si>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</si>
  <si>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</si>
  <si>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</si>
  <si>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</si>
  <si>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</si>
  <si>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</si>
  <si>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</si>
  <si>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</si>
  <si>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</si>
  <si>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</si>
  <si>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</si>
  <si>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</si>
  <si>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</si>
  <si>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</si>
  <si>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</si>
  <si>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</si>
  <si>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</si>
  <si>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</si>
  <si>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</si>
  <si>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</si>
  <si>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</si>
  <si>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</si>
  <si>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</si>
  <si>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</si>
  <si>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</si>
  <si>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</si>
  <si>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</si>
  <si>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</si>
  <si>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</si>
  <si>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</si>
  <si>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</si>
  <si>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</si>
  <si>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</si>
  <si>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</si>
  <si>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</si>
  <si>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</si>
  <si>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</si>
  <si>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</si>
  <si>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</si>
  <si>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</si>
  <si>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</si>
  <si>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</si>
  <si>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</si>
  <si>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</si>
  <si>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</si>
  <si>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</si>
  <si>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</si>
  <si>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</si>
  <si>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</si>
  <si>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</si>
  <si>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</si>
  <si>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</si>
  <si>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</si>
  <si>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</si>
  <si>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</si>
  <si>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</si>
  <si>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</si>
  <si>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</si>
  <si>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</si>
  <si>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</si>
  <si>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</si>
  <si>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</si>
  <si>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</si>
  <si>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</si>
  <si>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</si>
  <si>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</si>
  <si>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</si>
  <si>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</si>
  <si>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</si>
  <si>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</si>
  <si>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</si>
  <si>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</si>
  <si>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</si>
  <si>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</si>
  <si>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</si>
  <si>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</si>
  <si>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</si>
  <si>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</si>
  <si>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</si>
  <si>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</si>
  <si>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</si>
  <si>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</si>
  <si>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</si>
  <si>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</si>
  <si>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</si>
  <si>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</si>
  <si>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</si>
  <si>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</si>
  <si>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</si>
  <si>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</si>
  <si>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</si>
  <si>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</si>
  <si>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</si>
  <si>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</si>
  <si>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</si>
  <si>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</si>
  <si>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</si>
  <si>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</si>
  <si>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</si>
  <si>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</si>
  <si>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</si>
  <si>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</si>
  <si>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</si>
  <si>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</si>
  <si>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</si>
  <si>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</si>
  <si>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</si>
  <si>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</si>
  <si>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</si>
  <si>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</si>
  <si>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</si>
  <si>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</si>
  <si>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</si>
  <si>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</si>
  <si>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</si>
  <si>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</si>
  <si>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</si>
  <si>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</si>
  <si>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</si>
  <si>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</si>
  <si>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</si>
  <si>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</si>
  <si>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</si>
  <si>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</si>
  <si>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</si>
  <si>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</si>
  <si>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</si>
  <si>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</si>
  <si>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</si>
  <si>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</si>
  <si>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</si>
  <si>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</si>
  <si>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</si>
  <si>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</si>
  <si>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</si>
  <si>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</si>
  <si>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</si>
  <si>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</si>
  <si>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</si>
  <si>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</si>
  <si>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</si>
  <si>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</si>
  <si>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</si>
  <si>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</si>
  <si>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</si>
  <si>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</si>
  <si>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</si>
  <si>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</si>
  <si>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</si>
  <si>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</si>
  <si>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</si>
  <si>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</si>
  <si>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</si>
  <si>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</si>
  <si>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</si>
  <si>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</si>
  <si>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</si>
  <si>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</si>
  <si>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</si>
  <si>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</si>
  <si>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</si>
  <si>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</si>
  <si>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</si>
  <si>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</si>
  <si>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</si>
  <si>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</si>
  <si>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</si>
  <si>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</si>
  <si>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</si>
  <si>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</si>
  <si>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</si>
  <si>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</si>
  <si>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</si>
  <si>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</si>
  <si>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</si>
  <si>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</si>
  <si>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</si>
  <si>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</si>
  <si>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</si>
  <si>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</si>
  <si>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</si>
  <si>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</si>
  <si>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</si>
  <si>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</si>
  <si>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</si>
  <si>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</si>
  <si>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</si>
  <si>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</si>
  <si>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</si>
  <si>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</si>
  <si>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</si>
  <si>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</si>
  <si>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</si>
  <si>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</si>
  <si>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</si>
  <si>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</si>
  <si>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</si>
  <si>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</si>
  <si>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</si>
  <si>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</si>
  <si>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</si>
  <si>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</si>
  <si>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</si>
  <si>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</si>
  <si>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</si>
  <si>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</si>
  <si>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</si>
  <si>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</si>
  <si>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</si>
  <si>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</si>
  <si>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</si>
  <si>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</si>
  <si>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</si>
  <si>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</si>
  <si>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</si>
  <si>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</si>
  <si>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</si>
  <si>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</si>
  <si>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</si>
  <si>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</si>
  <si>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</si>
  <si>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</si>
  <si>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</si>
  <si>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</si>
  <si>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</si>
  <si>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</si>
  <si>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</si>
  <si>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</si>
  <si>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</si>
  <si>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</si>
  <si>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</si>
  <si>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</si>
  <si>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</si>
  <si>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</si>
  <si>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</si>
  <si>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</si>
  <si>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</si>
  <si>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</si>
  <si>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</si>
  <si>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</si>
  <si>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</si>
  <si>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</si>
  <si>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</si>
  <si>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</si>
  <si>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</si>
  <si>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</si>
  <si>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</si>
  <si>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</si>
  <si>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</si>
  <si>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</si>
  <si>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</si>
  <si>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</si>
  <si>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</si>
  <si>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</si>
  <si>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</si>
  <si>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</si>
  <si>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</si>
  <si>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</si>
  <si>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</si>
  <si>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</si>
  <si>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</si>
  <si>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</si>
  <si>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</si>
  <si>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</si>
  <si>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</si>
  <si>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</si>
  <si>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</si>
  <si>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</si>
  <si>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</si>
  <si>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</si>
  <si>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</si>
  <si>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</si>
  <si>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</si>
  <si>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</si>
  <si>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</si>
  <si>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</si>
  <si>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</si>
  <si>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</si>
  <si>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</si>
  <si>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</si>
  <si>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</si>
  <si>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</si>
  <si>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</si>
  <si>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</si>
  <si>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</si>
  <si>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</si>
  <si>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</si>
  <si>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</si>
  <si>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</si>
  <si>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</si>
  <si>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</si>
  <si>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</si>
  <si>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</si>
  <si>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</si>
  <si>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</si>
  <si>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</si>
  <si>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</si>
  <si>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</si>
  <si>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</si>
  <si>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</si>
  <si>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</si>
  <si>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</si>
  <si>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</si>
  <si>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</si>
  <si>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</si>
  <si>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</si>
  <si>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</si>
  <si>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</si>
  <si>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</si>
  <si>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</si>
  <si>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</si>
  <si>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</si>
  <si>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</si>
  <si>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</si>
  <si>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</si>
  <si>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</si>
  <si>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</si>
  <si>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</si>
  <si>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</si>
  <si>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</si>
  <si>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</si>
  <si>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</si>
  <si>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</si>
  <si>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</si>
  <si>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</si>
  <si>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</si>
  <si>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</si>
  <si>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</si>
  <si>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</si>
  <si>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</si>
  <si>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</si>
  <si>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</si>
  <si>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</si>
  <si>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</si>
  <si>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</si>
  <si>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</si>
  <si>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</si>
  <si>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</si>
  <si>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</si>
  <si>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</si>
  <si>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</si>
  <si>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</si>
  <si>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</si>
  <si>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</si>
  <si>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</si>
  <si>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</si>
  <si>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</si>
  <si>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</si>
  <si>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</si>
  <si>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</si>
  <si>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</si>
  <si>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</si>
  <si>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</si>
  <si>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</si>
  <si>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</si>
  <si>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</si>
  <si>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</si>
  <si>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</si>
  <si>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</si>
  <si>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</si>
  <si>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</si>
  <si>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</si>
  <si>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</si>
  <si>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</si>
  <si>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</si>
  <si>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</si>
  <si>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</si>
  <si>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</si>
  <si>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</si>
  <si>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</si>
  <si>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</si>
  <si>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</si>
  <si>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</si>
  <si>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</si>
  <si>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</si>
  <si>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</si>
  <si>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</si>
  <si>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</si>
  <si>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</si>
  <si>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</si>
  <si>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</si>
  <si>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</si>
  <si>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</si>
  <si>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</si>
  <si>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</si>
  <si>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</si>
  <si>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</si>
  <si>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</si>
  <si>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</si>
  <si>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</si>
  <si>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</si>
  <si>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</si>
  <si>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</si>
  <si>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</si>
  <si>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</si>
  <si>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</si>
  <si>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</si>
  <si>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</si>
  <si>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</si>
  <si>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</si>
  <si>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</si>
  <si>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</si>
  <si>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</si>
  <si>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</si>
  <si>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</si>
  <si>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</si>
  <si>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</si>
  <si>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</si>
  <si>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</si>
  <si>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</si>
  <si>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</si>
  <si>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</si>
  <si>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</si>
  <si>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</si>
  <si>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</si>
  <si>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</si>
  <si>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</si>
  <si>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</si>
  <si>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</si>
  <si>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</si>
  <si>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</si>
  <si>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</si>
  <si>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</si>
  <si>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</si>
  <si>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</si>
  <si>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</si>
  <si>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</si>
  <si>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</si>
  <si>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</si>
  <si>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</si>
  <si>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</si>
  <si>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</si>
  <si>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</si>
  <si>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</si>
  <si>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</si>
  <si>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</si>
  <si>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</si>
  <si>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</si>
  <si>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</si>
  <si>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</si>
  <si>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</si>
  <si>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</si>
  <si>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</si>
  <si>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</si>
  <si>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</si>
  <si>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</si>
  <si>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</si>
  <si>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</si>
  <si>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</si>
  <si>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</si>
  <si>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</si>
  <si>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</si>
  <si>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</si>
  <si>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</si>
  <si>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</si>
  <si>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</si>
  <si>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</si>
  <si>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</si>
  <si>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</si>
  <si>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</si>
  <si>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</si>
  <si>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</si>
  <si>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</si>
  <si>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</si>
  <si>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</si>
  <si>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</si>
  <si>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</si>
  <si>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</si>
  <si>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</si>
  <si>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</si>
  <si>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</si>
  <si>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</si>
  <si>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</si>
  <si>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</si>
  <si>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</si>
  <si>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</si>
  <si>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</si>
  <si>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</si>
  <si>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</si>
  <si>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</si>
  <si>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</si>
  <si>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</si>
  <si>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</si>
  <si>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</si>
  <si>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</si>
  <si>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</si>
  <si>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</si>
  <si>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</si>
  <si>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</si>
  <si>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</si>
  <si>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</si>
  <si>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</si>
  <si>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</si>
  <si>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</si>
  <si>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</si>
  <si>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</si>
  <si>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</si>
  <si>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</si>
  <si>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</si>
  <si>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</si>
  <si>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</si>
  <si>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</si>
  <si>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</si>
  <si>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</si>
  <si>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</si>
  <si>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</si>
  <si>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</si>
  <si>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</si>
  <si>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</si>
  <si>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</si>
  <si>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</si>
  <si>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</si>
  <si>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</si>
  <si>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</si>
  <si>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</si>
  <si>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</si>
  <si>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</si>
  <si>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</si>
  <si>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</si>
  <si>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</si>
  <si>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</si>
  <si>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</si>
  <si>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</si>
  <si>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</si>
  <si>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</si>
  <si>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</si>
  <si>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</si>
  <si>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</si>
  <si>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</si>
  <si>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</si>
  <si>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</si>
  <si>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</si>
  <si>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</si>
  <si>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</si>
  <si>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</si>
  <si>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</si>
  <si>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</si>
  <si>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</si>
  <si>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</si>
  <si>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</si>
  <si>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</si>
  <si>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</si>
  <si>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</si>
  <si>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</si>
  <si>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</si>
  <si>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</si>
  <si>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</si>
  <si>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</si>
  <si>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</si>
  <si>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</si>
  <si>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</si>
  <si>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</si>
  <si>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</si>
  <si>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</si>
  <si>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</si>
  <si>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</si>
  <si>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</si>
  <si>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</si>
  <si>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</si>
  <si>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</si>
  <si>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</si>
  <si>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</si>
  <si>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</si>
  <si>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</si>
  <si>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</si>
  <si>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</si>
  <si>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</si>
  <si>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</si>
  <si>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</si>
  <si>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</si>
  <si>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</si>
  <si>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</si>
  <si>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</si>
  <si>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</si>
  <si>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</si>
  <si>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</si>
  <si>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</si>
  <si>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</si>
  <si>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</si>
  <si>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</si>
  <si>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</si>
  <si>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</si>
  <si>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</si>
  <si>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</si>
  <si>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</si>
  <si>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</si>
  <si>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</si>
  <si>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</si>
  <si>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</si>
  <si>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</si>
  <si>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</si>
  <si>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</si>
  <si>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</si>
  <si>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</si>
  <si>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</si>
  <si>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</si>
  <si>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</si>
  <si>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</si>
  <si>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</si>
  <si>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</si>
  <si>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</si>
  <si>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</si>
  <si>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</si>
  <si>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</si>
  <si>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</si>
  <si>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</si>
  <si>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</si>
  <si>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</si>
  <si>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</si>
  <si>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</si>
  <si>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</si>
  <si>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</si>
  <si>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</si>
  <si>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</si>
  <si>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</si>
  <si>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</si>
  <si>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</si>
  <si>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</si>
  <si>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</si>
  <si>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</si>
  <si>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</si>
  <si>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</si>
  <si>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</si>
  <si>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</si>
  <si>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</si>
  <si>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</si>
  <si>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</si>
  <si>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</si>
  <si>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</si>
  <si>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</si>
  <si>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</si>
  <si>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</si>
  <si>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</si>
  <si>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</si>
  <si>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</si>
  <si>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</si>
  <si>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</si>
  <si>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</si>
  <si>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</si>
  <si>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</si>
  <si>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</si>
  <si>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</si>
  <si>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</si>
  <si>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</si>
  <si>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</si>
  <si>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</si>
  <si>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</si>
  <si>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</si>
  <si>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</si>
  <si>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</si>
  <si>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</si>
  <si>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</si>
  <si>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</si>
  <si>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</si>
  <si>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</si>
  <si>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</si>
  <si>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</si>
  <si>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</si>
  <si>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</si>
  <si>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</si>
  <si>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</si>
  <si>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</si>
  <si>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</si>
  <si>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</si>
  <si>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</si>
  <si>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</si>
  <si>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</si>
  <si>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</si>
  <si>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</si>
  <si>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</si>
  <si>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</si>
  <si>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</si>
  <si>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</si>
  <si>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</si>
  <si>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</si>
  <si>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</si>
  <si>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</si>
  <si>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</si>
  <si>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</si>
  <si>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</si>
  <si>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</si>
  <si>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</si>
  <si>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</si>
  <si>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</si>
  <si>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</si>
  <si>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</si>
  <si>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</si>
  <si>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</si>
  <si>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</si>
  <si>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</si>
  <si>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</si>
  <si>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</si>
  <si>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</si>
  <si>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</si>
  <si>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</si>
  <si>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</si>
  <si>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</si>
  <si>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</si>
  <si>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</si>
  <si>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</si>
  <si>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</si>
  <si>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</si>
  <si>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</si>
  <si>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</si>
  <si>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</si>
  <si>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</si>
  <si>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</si>
  <si>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</si>
  <si>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</si>
  <si>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</si>
  <si>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</si>
  <si>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</si>
  <si>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</si>
  <si>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</si>
  <si>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</si>
  <si>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</si>
  <si>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</si>
  <si>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</si>
  <si>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</si>
  <si>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</si>
  <si>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</si>
  <si>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</si>
  <si>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</si>
  <si>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</si>
  <si>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</si>
  <si>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</si>
  <si>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</si>
  <si>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</si>
  <si>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</si>
  <si>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</si>
  <si>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</si>
  <si>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</si>
  <si>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</si>
  <si>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</si>
  <si>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</si>
  <si>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</si>
  <si>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</si>
  <si>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</si>
  <si>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</si>
  <si>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</si>
  <si>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</si>
  <si>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</si>
  <si>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</si>
  <si>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</si>
  <si>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</si>
  <si>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</si>
  <si>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</si>
  <si>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</si>
  <si>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</si>
  <si>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</si>
  <si>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</si>
  <si>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</si>
  <si>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</si>
  <si>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</si>
  <si>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</si>
  <si>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</si>
  <si>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</si>
  <si>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</si>
  <si>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</si>
  <si>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</si>
  <si>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</si>
  <si>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</si>
  <si>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</si>
  <si>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</si>
  <si>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</si>
  <si>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</si>
  <si>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</si>
  <si>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</si>
  <si>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</si>
  <si>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</si>
  <si>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</si>
  <si>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</si>
  <si>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</si>
  <si>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</si>
  <si>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</si>
  <si>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</si>
  <si>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</si>
  <si>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</si>
  <si>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</si>
  <si>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</si>
  <si>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</si>
  <si>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</si>
  <si>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</si>
  <si>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</si>
  <si>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</si>
  <si>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</si>
  <si>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</si>
  <si>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</si>
  <si>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</si>
  <si>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</si>
  <si>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</si>
  <si>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</si>
  <si>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</si>
  <si>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</si>
  <si>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</si>
  <si>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</si>
  <si>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</si>
  <si>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</si>
  <si>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</si>
  <si>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</si>
  <si>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</si>
  <si>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</si>
  <si>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</si>
  <si>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</si>
  <si>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</si>
  <si>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</si>
  <si>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</si>
  <si>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</si>
  <si>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</si>
  <si>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</si>
  <si>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</si>
  <si>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</si>
  <si>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</si>
  <si>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</si>
  <si>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</si>
  <si>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</si>
  <si>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</si>
  <si>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</si>
  <si>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</si>
  <si>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</si>
  <si>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</si>
  <si>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</si>
  <si>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</si>
  <si>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</si>
  <si>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</si>
  <si>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</si>
  <si>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</si>
  <si>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</si>
  <si>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</si>
  <si>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</si>
  <si>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</si>
  <si>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</si>
  <si>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</si>
  <si>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</si>
  <si>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</si>
  <si>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</si>
  <si>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</si>
  <si>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</si>
  <si>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</si>
  <si>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</si>
  <si>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</si>
  <si>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</si>
  <si>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</si>
  <si>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</si>
  <si>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</si>
  <si>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</si>
  <si>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</si>
  <si>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</si>
  <si>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</si>
  <si>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</si>
  <si>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</si>
  <si>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</si>
  <si>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</si>
  <si>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</si>
  <si>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</si>
  <si>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</si>
  <si>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</si>
  <si>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</si>
  <si>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</si>
  <si>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</si>
  <si>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</si>
  <si>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</si>
  <si>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</si>
  <si>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</si>
  <si>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</si>
  <si>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</si>
  <si>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</si>
  <si>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</si>
  <si>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</si>
  <si>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</si>
  <si>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</si>
  <si>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</si>
  <si>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</si>
  <si>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</si>
  <si>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</si>
  <si>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</si>
  <si>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</si>
  <si>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</si>
  <si>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</si>
  <si>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</si>
  <si>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</si>
  <si>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</si>
  <si>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</si>
  <si>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</si>
  <si>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</si>
  <si>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</si>
  <si>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</si>
  <si>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</si>
  <si>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</si>
  <si>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</si>
  <si>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</si>
  <si>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</si>
  <si>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</si>
  <si>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</si>
  <si>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</si>
  <si>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</si>
  <si>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</si>
  <si>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</si>
  <si>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</si>
  <si>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</si>
  <si>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</si>
  <si>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</si>
  <si>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</si>
  <si>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</si>
  <si>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</si>
  <si>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</si>
  <si>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</si>
  <si>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</si>
  <si>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</si>
  <si>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</si>
  <si>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</si>
  <si>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</si>
  <si>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</si>
  <si>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</si>
  <si>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</si>
  <si>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</si>
  <si>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</si>
  <si>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</si>
  <si>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</si>
  <si>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</si>
  <si>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</si>
  <si>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</si>
  <si>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</si>
  <si>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</si>
  <si>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</si>
  <si>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</si>
  <si>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</si>
  <si>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</si>
  <si>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</si>
  <si>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</si>
  <si>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</si>
  <si>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</si>
  <si>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</si>
  <si>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</si>
  <si>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</si>
  <si>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</si>
  <si>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</si>
  <si>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</si>
  <si>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</si>
  <si>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</si>
  <si>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</si>
  <si>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</si>
  <si>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</si>
  <si>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</si>
  <si>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</si>
  <si>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</si>
  <si>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</si>
  <si>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</si>
  <si>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</si>
  <si>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</si>
  <si>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</si>
  <si>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</si>
  <si>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</si>
  <si>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</si>
  <si>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</si>
  <si>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</si>
  <si>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</si>
  <si>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</si>
  <si>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</si>
  <si>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</si>
  <si>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</si>
  <si>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</si>
  <si>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</si>
  <si>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</si>
  <si>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</si>
  <si>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</si>
  <si>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</si>
  <si>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</si>
  <si>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</si>
  <si>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</si>
  <si>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</si>
  <si>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</si>
  <si>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</si>
  <si>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</si>
  <si>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</si>
  <si>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</si>
  <si>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</si>
  <si>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</si>
  <si>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</si>
  <si>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</si>
  <si>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</si>
  <si>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</si>
  <si>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</si>
  <si>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</si>
  <si>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</si>
  <si>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</si>
  <si>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</si>
  <si>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</si>
  <si>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</si>
  <si>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</si>
  <si>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</si>
  <si>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</si>
  <si>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</si>
  <si>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</si>
  <si>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</si>
  <si>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</si>
  <si>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</si>
  <si>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</si>
  <si>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</si>
  <si>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</si>
  <si>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</si>
  <si>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</si>
  <si>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</si>
  <si>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</si>
  <si>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</si>
  <si>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</si>
  <si>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</si>
  <si>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</si>
  <si>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</si>
  <si>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</si>
  <si>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</si>
  <si>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</si>
  <si>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</si>
  <si>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</si>
  <si>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</si>
  <si>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</si>
  <si>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</si>
  <si>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</si>
  <si>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</si>
  <si>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</si>
  <si>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</si>
  <si>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</si>
  <si>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</si>
  <si>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</si>
  <si>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</si>
  <si>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</si>
  <si>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</si>
  <si>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</si>
  <si>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</si>
  <si>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</si>
  <si>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</si>
  <si>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</si>
  <si>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</si>
  <si>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</si>
  <si>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</si>
  <si>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</si>
  <si>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</si>
  <si>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</si>
  <si>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</si>
  <si>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</si>
  <si>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</si>
  <si>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</si>
  <si>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</si>
  <si>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</si>
  <si>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</si>
  <si>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</si>
  <si>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</si>
  <si>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</si>
  <si>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</si>
  <si>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</si>
  <si>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</si>
  <si>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</si>
  <si>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</si>
  <si>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</si>
  <si>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</si>
  <si>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</si>
  <si>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</si>
  <si>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</si>
  <si>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</si>
  <si>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</si>
  <si>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</si>
  <si>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</si>
  <si>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</si>
  <si>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</si>
  <si>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</si>
  <si>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</si>
  <si>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</si>
  <si>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</si>
  <si>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</si>
  <si>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</si>
  <si>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</si>
  <si>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</si>
  <si>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</si>
  <si>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</si>
  <si>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</si>
  <si>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</si>
  <si>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</si>
  <si>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</si>
  <si>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</si>
  <si>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</si>
  <si>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</si>
  <si>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</si>
  <si>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</si>
  <si>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</si>
  <si>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</si>
  <si>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</si>
  <si>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</si>
  <si>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</si>
  <si>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</si>
  <si>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</si>
  <si>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</si>
  <si>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</si>
  <si>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</si>
  <si>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</si>
  <si>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</si>
  <si>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</si>
  <si>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</si>
  <si>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</si>
  <si>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</si>
  <si>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</si>
  <si>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</si>
  <si>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</si>
  <si>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</si>
  <si>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</si>
  <si>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</si>
  <si>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</si>
  <si>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</si>
  <si>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</si>
  <si>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</si>
  <si>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</si>
  <si>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</si>
  <si>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</si>
  <si>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</si>
  <si>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</si>
  <si>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</si>
  <si>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</si>
  <si>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</si>
  <si>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</si>
  <si>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</si>
  <si>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</si>
  <si>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</si>
  <si>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</si>
  <si>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</si>
  <si>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</si>
  <si>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</si>
  <si>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</si>
  <si>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</si>
  <si>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</si>
  <si>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</si>
  <si>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</si>
  <si>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</si>
  <si>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</si>
  <si>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</si>
  <si>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</si>
  <si>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</si>
  <si>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</si>
  <si>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</si>
  <si>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</si>
  <si>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</si>
  <si>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</si>
  <si>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</si>
  <si>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</si>
  <si>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</si>
  <si>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</si>
  <si>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</si>
  <si>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</si>
  <si>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</si>
  <si>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</si>
  <si>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</si>
  <si>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</si>
  <si>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</si>
  <si>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</si>
  <si>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</si>
  <si>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</si>
  <si>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</si>
  <si>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</si>
  <si>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</si>
  <si>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</si>
  <si>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</si>
  <si>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</si>
  <si>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</si>
  <si>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</si>
  <si>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</si>
  <si>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</si>
  <si>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</si>
  <si>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</si>
  <si>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</si>
  <si>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</si>
  <si>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</si>
  <si>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</si>
  <si>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</si>
  <si>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</si>
  <si>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</si>
  <si>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</si>
  <si>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</si>
  <si>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</si>
  <si>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</si>
  <si>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</si>
  <si>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</si>
  <si>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</si>
  <si>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</si>
  <si>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</si>
  <si>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</si>
  <si>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</si>
  <si>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</si>
  <si>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</si>
  <si>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</si>
  <si>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</si>
  <si>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</si>
  <si>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</si>
  <si>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</si>
  <si>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</si>
  <si>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</si>
  <si>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</si>
  <si>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</si>
  <si>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</si>
  <si>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</si>
  <si>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</si>
  <si>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</si>
  <si>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</si>
  <si>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</si>
  <si>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</si>
  <si>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</si>
  <si>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</si>
  <si>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</si>
  <si>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</si>
  <si>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</si>
  <si>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</si>
  <si>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</si>
  <si>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</si>
  <si>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</si>
  <si>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</si>
  <si>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</si>
  <si>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</si>
  <si>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</si>
  <si>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</si>
  <si>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</si>
  <si>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</si>
  <si>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</si>
  <si>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</si>
  <si>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</si>
  <si>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</si>
  <si>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</si>
  <si>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</si>
  <si>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</si>
  <si>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</si>
  <si>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</si>
  <si>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</si>
  <si>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</si>
  <si>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</si>
  <si>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</si>
  <si>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</si>
  <si>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</si>
  <si>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</si>
  <si>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</si>
  <si>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</si>
  <si>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</si>
  <si>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</si>
  <si>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</si>
  <si>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</si>
  <si>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</si>
  <si>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</si>
  <si>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</si>
  <si>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</si>
  <si>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</si>
  <si>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</si>
  <si>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</si>
  <si>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</si>
  <si>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</si>
  <si>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</si>
  <si>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</si>
  <si>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</si>
  <si>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</si>
  <si>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</si>
  <si>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</si>
  <si>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</si>
  <si>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</si>
  <si>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</si>
  <si>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</si>
  <si>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</si>
  <si>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</si>
  <si>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</si>
  <si>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</si>
  <si>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</si>
  <si>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</si>
  <si>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</si>
  <si>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</si>
  <si>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</si>
  <si>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</si>
  <si>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</si>
  <si>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</si>
  <si>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</si>
  <si>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</si>
  <si>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</si>
  <si>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</si>
  <si>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</si>
  <si>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</si>
  <si>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</si>
  <si>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</si>
  <si>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</si>
  <si>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</si>
  <si>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</si>
  <si>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</si>
  <si>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</si>
  <si>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</si>
  <si>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</si>
  <si>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</si>
  <si>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</si>
  <si>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</si>
  <si>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</si>
  <si>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</si>
  <si>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</si>
  <si>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</si>
  <si>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</si>
  <si>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</si>
  <si>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</si>
  <si>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</si>
  <si>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</si>
  <si>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</si>
  <si>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</si>
  <si>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</si>
  <si>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</si>
  <si>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</si>
  <si>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</si>
  <si>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</si>
  <si>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</si>
  <si>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</si>
  <si>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</si>
  <si>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</si>
  <si>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</si>
  <si>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</si>
  <si>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</si>
  <si>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</si>
  <si>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</si>
  <si>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</si>
  <si>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</si>
  <si>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</si>
  <si>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</si>
  <si>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</si>
  <si>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</si>
  <si>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</si>
  <si>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</si>
  <si>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</si>
  <si>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</si>
  <si>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</si>
  <si>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</si>
  <si>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</si>
  <si>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</si>
  <si>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</si>
  <si>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</si>
  <si>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</si>
  <si>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</si>
  <si>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</si>
  <si>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</si>
  <si>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</si>
  <si>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</si>
  <si>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</si>
  <si>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</si>
  <si>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</si>
  <si>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</si>
  <si>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</si>
  <si>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</si>
  <si>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</si>
  <si>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</si>
  <si>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</si>
  <si>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</si>
  <si>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</si>
  <si>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</si>
  <si>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</si>
  <si>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</si>
  <si>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</si>
  <si>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</si>
  <si>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</si>
  <si>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</si>
  <si>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</si>
  <si>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</si>
  <si>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</si>
  <si>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</si>
  <si>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</si>
  <si>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</si>
  <si>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</si>
  <si>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</si>
  <si>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</si>
  <si>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</si>
  <si>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</si>
  <si>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</si>
  <si>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</si>
  <si>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</si>
  <si>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</si>
  <si>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</si>
  <si>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</si>
  <si>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</si>
  <si>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</si>
  <si>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</si>
  <si>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</si>
  <si>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</si>
  <si>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</si>
  <si>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</si>
  <si>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</si>
  <si>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</si>
  <si>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</si>
  <si>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</si>
  <si>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</si>
  <si>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</si>
  <si>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</si>
  <si>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</si>
  <si>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</si>
  <si>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</si>
  <si>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</si>
  <si>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</si>
  <si>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</si>
  <si>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</si>
  <si>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</si>
  <si>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</si>
  <si>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</si>
  <si>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</si>
  <si>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</si>
  <si>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</si>
  <si>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</si>
  <si>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</si>
  <si>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</si>
  <si>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</si>
  <si>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</si>
  <si>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</si>
  <si>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</si>
  <si>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</si>
  <si>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</si>
  <si>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</si>
  <si>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</si>
  <si>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</si>
  <si>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</si>
  <si>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</si>
  <si>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</si>
  <si>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</si>
  <si>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</si>
  <si>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</si>
  <si>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</si>
  <si>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</si>
  <si>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</si>
  <si>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</si>
  <si>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</si>
  <si>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</si>
  <si>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</si>
  <si>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</si>
  <si>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</si>
  <si>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</si>
  <si>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</si>
  <si>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</si>
  <si>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</si>
  <si>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</si>
  <si>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</si>
  <si>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</si>
  <si>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</si>
  <si>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</si>
  <si>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</si>
  <si>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</si>
  <si>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</si>
  <si>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</si>
  <si>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</si>
  <si>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</si>
  <si>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</si>
  <si>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</si>
  <si>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</si>
  <si>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</si>
  <si>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</si>
  <si>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</si>
  <si>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</si>
  <si>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</si>
  <si>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</si>
  <si>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</si>
  <si>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</si>
  <si>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</si>
  <si>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</si>
  <si>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</si>
  <si>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</si>
  <si>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</si>
  <si>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</si>
  <si>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</si>
  <si>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</si>
  <si>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</si>
  <si>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</si>
  <si>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</si>
  <si>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</si>
  <si>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</si>
  <si>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</si>
  <si>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</si>
  <si>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</si>
  <si>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</si>
  <si>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</si>
  <si>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</si>
  <si>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</si>
  <si>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</si>
  <si>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</si>
  <si>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</si>
  <si>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</si>
  <si>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</si>
  <si>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</si>
  <si>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</si>
  <si>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</si>
  <si>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</si>
  <si>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</si>
  <si>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</si>
  <si>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</si>
  <si>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</si>
  <si>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</si>
  <si>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</si>
  <si>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</si>
  <si>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</si>
  <si>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</si>
  <si>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</si>
  <si>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</si>
  <si>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</si>
  <si>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</si>
  <si>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</si>
  <si>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</si>
  <si>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</si>
  <si>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</si>
  <si>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</si>
  <si>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</si>
  <si>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</si>
  <si>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</si>
  <si>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</si>
  <si>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</si>
  <si>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</si>
  <si>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</si>
  <si>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</si>
  <si>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</si>
  <si>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</si>
  <si>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</si>
  <si>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</si>
  <si>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</si>
  <si>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</si>
  <si>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</si>
  <si>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</si>
  <si>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</si>
  <si>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</si>
  <si>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</si>
  <si>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</si>
  <si>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</si>
  <si>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</si>
  <si>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</si>
  <si>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</si>
  <si>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</si>
  <si>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</si>
  <si>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</si>
  <si>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</si>
  <si>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</si>
  <si>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</si>
  <si>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</si>
  <si>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</si>
  <si>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</si>
  <si>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</si>
  <si>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</si>
  <si>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</si>
  <si>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</si>
  <si>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</si>
  <si>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</si>
  <si>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</si>
  <si>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</si>
  <si>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</si>
  <si>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</si>
  <si>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</si>
  <si>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</si>
  <si>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</si>
  <si>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</si>
  <si>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</si>
  <si>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</si>
  <si>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</si>
  <si>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</si>
  <si>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</si>
  <si>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</si>
  <si>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</si>
  <si>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</si>
  <si>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</si>
  <si>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</si>
  <si>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</si>
  <si>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</si>
  <si>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</si>
  <si>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</si>
  <si>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</si>
  <si>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</si>
  <si>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</si>
  <si>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</si>
  <si>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</si>
  <si>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</si>
  <si>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</si>
  <si>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</si>
  <si>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</si>
  <si>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</si>
  <si>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</si>
  <si>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</si>
  <si>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</si>
  <si>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</si>
  <si>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</si>
  <si>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</si>
  <si>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</si>
  <si>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</si>
  <si>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</si>
  <si>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</si>
  <si>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</si>
  <si>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</si>
  <si>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</si>
  <si>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</si>
  <si>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</si>
  <si>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</si>
  <si>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</si>
  <si>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</si>
  <si>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</si>
  <si>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</si>
  <si>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</si>
  <si>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</si>
  <si>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</si>
  <si>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</si>
  <si>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</si>
  <si>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</si>
  <si>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</si>
  <si>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</si>
  <si>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</si>
  <si>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</si>
  <si>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</si>
  <si>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</si>
  <si>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</si>
  <si>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</si>
  <si>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</si>
  <si>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</si>
  <si>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</si>
  <si>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</si>
  <si>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</si>
  <si>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</si>
  <si>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</si>
  <si>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</si>
  <si>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</si>
  <si>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</si>
  <si>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</si>
  <si>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</si>
  <si>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</si>
  <si>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</si>
  <si>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</si>
  <si>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</si>
  <si>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</si>
  <si>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</si>
  <si>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</si>
  <si>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</si>
  <si>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</si>
  <si>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</si>
  <si>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</si>
  <si>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</si>
  <si>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</si>
  <si>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</si>
  <si>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</si>
  <si>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</si>
  <si>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</si>
  <si>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</si>
  <si>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</si>
  <si>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</si>
  <si>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</si>
  <si>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</si>
  <si>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</si>
  <si>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</si>
  <si>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</si>
  <si>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</si>
  <si>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</si>
  <si>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</si>
  <si>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</si>
  <si>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</si>
  <si>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</si>
  <si>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</si>
  <si>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</si>
  <si>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</si>
  <si>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</si>
  <si>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</si>
  <si>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</si>
  <si>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</si>
  <si>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</si>
  <si>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</si>
  <si>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</si>
  <si>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</si>
  <si>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</si>
  <si>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</si>
  <si>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</si>
  <si>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</si>
  <si>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</si>
  <si>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</si>
  <si>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</si>
  <si>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</si>
  <si>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</si>
  <si>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</si>
  <si>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</si>
  <si>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</si>
  <si>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</si>
  <si>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</si>
  <si>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</si>
  <si>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</si>
  <si>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</si>
  <si>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</si>
  <si>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</si>
  <si>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</si>
  <si>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</si>
  <si>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</si>
  <si>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</si>
  <si>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</si>
  <si>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</si>
  <si>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</si>
  <si>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</si>
  <si>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</si>
  <si>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</si>
  <si>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</si>
  <si>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</si>
  <si>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</si>
  <si>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</si>
  <si>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</si>
  <si>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</si>
  <si>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</si>
  <si>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</si>
  <si>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</si>
  <si>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</si>
  <si>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</si>
  <si>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</si>
  <si>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</si>
  <si>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</si>
  <si>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</si>
  <si>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</si>
  <si>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</si>
  <si>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</si>
  <si>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</si>
  <si>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</si>
  <si>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</si>
  <si>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</si>
  <si>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</si>
  <si>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</si>
  <si>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</si>
  <si>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</si>
  <si>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</si>
  <si>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</si>
  <si>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</si>
  <si>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</si>
  <si>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</si>
  <si>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</si>
  <si>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</si>
  <si>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</si>
  <si>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</si>
  <si>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</si>
  <si>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</si>
  <si>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</si>
  <si>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</si>
  <si>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</si>
  <si>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</si>
  <si>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</si>
  <si>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</si>
  <si>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</si>
  <si>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</si>
  <si>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</si>
  <si>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</si>
  <si>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</si>
  <si>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</si>
  <si>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</si>
  <si>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</si>
  <si>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</si>
  <si>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</si>
  <si>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</si>
  <si>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</si>
  <si>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</si>
  <si>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</si>
  <si>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</si>
  <si>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</si>
  <si>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</si>
  <si>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</si>
  <si>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</si>
  <si>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</si>
  <si>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</si>
  <si>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</si>
  <si>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</si>
  <si>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</si>
  <si>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</si>
  <si>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</si>
  <si>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</si>
  <si>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</si>
  <si>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</si>
  <si>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</si>
  <si>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</si>
  <si>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</si>
  <si>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</si>
  <si>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</si>
  <si>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</si>
  <si>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</si>
  <si>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</si>
  <si>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</si>
  <si>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</si>
  <si>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</si>
  <si>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</si>
  <si>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</si>
  <si>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</si>
  <si>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</si>
  <si>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</si>
  <si>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</si>
  <si>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</si>
  <si>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</si>
  <si>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</si>
  <si>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</si>
  <si>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</si>
  <si>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</si>
  <si>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</si>
  <si>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</si>
  <si>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</si>
  <si>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</si>
  <si>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</si>
  <si>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</si>
  <si>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</si>
  <si>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</si>
  <si>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</si>
  <si>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</si>
  <si>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</si>
  <si>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</si>
  <si>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</si>
  <si>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</si>
  <si>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</si>
  <si>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</si>
  <si>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</si>
  <si>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</si>
  <si>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</si>
  <si>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</si>
  <si>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</si>
  <si>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</si>
  <si>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</si>
  <si>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</si>
  <si>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</si>
  <si>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</si>
  <si>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</si>
  <si>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</si>
  <si>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</si>
  <si>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</si>
  <si>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</si>
  <si>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</si>
  <si>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</si>
  <si>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</si>
  <si>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</si>
  <si>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</si>
  <si>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</si>
  <si>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</si>
  <si>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</si>
  <si>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</si>
  <si>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</si>
  <si>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</si>
  <si>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</si>
  <si>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</si>
  <si>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</si>
  <si>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</si>
  <si>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</si>
  <si>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</si>
  <si>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</si>
  <si>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</si>
  <si>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</si>
  <si>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</si>
  <si>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</si>
  <si>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</si>
  <si>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</si>
  <si>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</si>
  <si>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</si>
  <si>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</si>
  <si>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</si>
  <si>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</si>
  <si>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</si>
  <si>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</si>
  <si>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</si>
  <si>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</si>
  <si>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</si>
  <si>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</si>
  <si>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</si>
  <si>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</si>
  <si>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</si>
  <si>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</si>
  <si>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</si>
  <si>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</si>
  <si>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</si>
  <si>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</si>
  <si>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</si>
  <si>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</si>
  <si>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</si>
  <si>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</si>
  <si>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</si>
  <si>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</si>
  <si>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</si>
  <si>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</si>
  <si>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</si>
  <si>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</si>
  <si>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</si>
  <si>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</si>
  <si>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</si>
  <si>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</si>
  <si>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</si>
  <si>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</si>
  <si>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</si>
  <si>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</si>
  <si>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</si>
  <si>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</si>
  <si>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</si>
  <si>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</si>
  <si>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</si>
  <si>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</si>
  <si>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</si>
  <si>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</si>
  <si>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</si>
  <si>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</si>
  <si>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</si>
  <si>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</si>
  <si>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</si>
  <si>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</si>
  <si>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</si>
  <si>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</si>
  <si>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</si>
  <si>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</si>
  <si>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</si>
  <si>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</si>
  <si>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</si>
  <si>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</si>
  <si>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</si>
  <si>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</si>
  <si>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</si>
  <si>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</si>
  <si>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</si>
  <si>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</si>
  <si>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</si>
  <si>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</si>
  <si>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</si>
  <si>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</si>
  <si>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</si>
  <si>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</si>
  <si>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</si>
  <si>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</si>
  <si>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</si>
  <si>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</si>
  <si>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</si>
  <si>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</si>
  <si>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</si>
  <si>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</si>
  <si>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</si>
  <si>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</si>
  <si>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</si>
  <si>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</si>
  <si>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</si>
  <si>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</si>
  <si>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</si>
  <si>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</si>
  <si>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</si>
  <si>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</si>
  <si>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</si>
  <si>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</si>
  <si>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</si>
  <si>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</si>
  <si>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</si>
  <si>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</si>
  <si>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</si>
  <si>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</si>
  <si>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</si>
  <si>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</si>
  <si>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</si>
  <si>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</si>
  <si>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</si>
  <si>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</si>
  <si>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</si>
  <si>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</si>
  <si>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</si>
  <si>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</si>
  <si>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</si>
  <si>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</si>
  <si>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</si>
  <si>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</si>
  <si>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</si>
  <si>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</si>
  <si>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</si>
  <si>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</si>
  <si>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</si>
  <si>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</si>
  <si>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</si>
  <si>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</si>
  <si>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</si>
  <si>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</si>
  <si>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</si>
  <si>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</si>
  <si>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</si>
  <si>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</si>
  <si>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</si>
  <si>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</si>
  <si>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</si>
  <si>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</si>
  <si>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</si>
  <si>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</si>
  <si>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</si>
  <si>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</si>
  <si>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</si>
  <si>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</si>
  <si>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</si>
  <si>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</si>
  <si>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</si>
  <si>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</si>
  <si>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</si>
  <si>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</si>
  <si>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</si>
  <si>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</si>
  <si>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</si>
  <si>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</si>
  <si>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</si>
  <si>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</si>
  <si>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</si>
  <si>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</si>
  <si>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</si>
  <si>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</si>
  <si>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</si>
  <si>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</si>
  <si>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</si>
  <si>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</si>
  <si>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</si>
  <si>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</si>
  <si>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</si>
  <si>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</si>
  <si>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</si>
  <si>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</si>
  <si>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</si>
  <si>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</si>
  <si>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</si>
  <si>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</si>
  <si>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</si>
  <si>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</si>
  <si>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</si>
  <si>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</si>
  <si>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</si>
  <si>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</si>
  <si>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</si>
  <si>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</si>
  <si>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</si>
  <si>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</si>
  <si>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</si>
  <si>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</si>
  <si>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</si>
  <si>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</si>
  <si>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</si>
  <si>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</si>
  <si>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</si>
  <si>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</si>
  <si>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</si>
  <si>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</si>
  <si>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</si>
  <si>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</si>
  <si>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</si>
  <si>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</si>
  <si>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</si>
  <si>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</si>
  <si>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</si>
  <si>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</si>
  <si>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</si>
  <si>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</si>
  <si>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</si>
  <si>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</si>
  <si>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</si>
  <si>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</si>
  <si>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</si>
  <si>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</si>
  <si>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</si>
  <si>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</si>
  <si>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</si>
  <si>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</si>
  <si>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</si>
  <si>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</si>
  <si>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</si>
  <si>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</si>
  <si>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</si>
  <si>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</si>
  <si>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</si>
  <si>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</si>
  <si>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</si>
  <si>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</si>
  <si>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</si>
  <si>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</si>
  <si>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</si>
  <si>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</si>
  <si>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</si>
  <si>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</si>
  <si>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</si>
  <si>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</si>
  <si>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</si>
  <si>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</si>
  <si>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</si>
  <si>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</si>
  <si>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</si>
  <si>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</si>
  <si>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</si>
  <si>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</si>
  <si>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</si>
  <si>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</si>
  <si>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</si>
  <si>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</si>
  <si>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</si>
  <si>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</si>
  <si>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</si>
  <si>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</si>
  <si>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</si>
  <si>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</si>
  <si>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</si>
  <si>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</si>
  <si>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</si>
  <si>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</si>
  <si>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</si>
  <si>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</si>
  <si>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</si>
  <si>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</si>
  <si>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</si>
  <si>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</si>
  <si>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</si>
  <si>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</si>
  <si>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</si>
  <si>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</si>
  <si>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</si>
  <si>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</si>
  <si>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</si>
  <si>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</si>
  <si>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</si>
  <si>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</si>
  <si>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</si>
  <si>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</si>
  <si>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</si>
  <si>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</si>
  <si>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</si>
  <si>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</si>
  <si>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</si>
  <si>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</si>
  <si>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</si>
  <si>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</si>
  <si>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</si>
  <si>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</si>
  <si>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</si>
  <si>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</si>
  <si>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</si>
  <si>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</si>
  <si>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</si>
  <si>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</si>
  <si>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</si>
  <si>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</si>
  <si>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</si>
  <si>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</si>
  <si>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</si>
  <si>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</si>
  <si>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</si>
  <si>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</si>
  <si>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</si>
  <si>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</si>
  <si>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</si>
  <si>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</si>
  <si>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</si>
  <si>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</si>
  <si>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</si>
  <si>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</si>
  <si>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</si>
  <si>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</si>
  <si>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</si>
  <si>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</si>
  <si>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</si>
  <si>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</si>
  <si>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</si>
  <si>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</si>
  <si>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</si>
  <si>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</si>
  <si>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</si>
  <si>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</si>
  <si>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</si>
  <si>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</si>
  <si>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</si>
  <si>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</si>
  <si>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</si>
  <si>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</si>
  <si>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</si>
  <si>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</si>
  <si>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</si>
  <si>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</si>
  <si>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</si>
  <si>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</si>
  <si>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</si>
  <si>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</si>
  <si>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</si>
  <si>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</si>
  <si>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</si>
  <si>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</si>
  <si>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</si>
  <si>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</si>
  <si>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</si>
  <si>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</si>
  <si>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</si>
  <si>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</si>
  <si>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</si>
  <si>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</si>
  <si>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</si>
  <si>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</si>
  <si>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</si>
  <si>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</si>
  <si>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</si>
  <si>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</si>
  <si>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</si>
  <si>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</si>
  <si>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</si>
  <si>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</si>
  <si>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</si>
  <si>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</si>
  <si>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</si>
  <si>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</si>
  <si>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</si>
  <si>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</si>
  <si>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</si>
  <si>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</si>
  <si>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</si>
  <si>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</si>
  <si>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</si>
  <si>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</si>
  <si>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</si>
  <si>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</si>
  <si>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</si>
  <si>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</si>
  <si>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</si>
  <si>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</si>
  <si>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</si>
  <si>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</si>
  <si>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</si>
  <si>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</si>
  <si>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</si>
  <si>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</si>
  <si>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</si>
  <si>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</si>
  <si>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</si>
  <si>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</si>
  <si>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</si>
  <si>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</si>
  <si>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</si>
  <si>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</si>
  <si>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</si>
  <si>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</si>
  <si>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</si>
  <si>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</si>
  <si>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</si>
  <si>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</si>
  <si>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</si>
  <si>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</si>
  <si>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</si>
  <si>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</si>
  <si>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</si>
  <si>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</si>
  <si>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</si>
  <si>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</si>
  <si>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</si>
  <si>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</si>
  <si>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</si>
  <si>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</si>
  <si>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</si>
  <si>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</si>
  <si>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</si>
  <si>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</si>
  <si>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</si>
  <si>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</si>
  <si>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</si>
  <si>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</si>
  <si>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</si>
  <si>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</si>
  <si>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</si>
  <si>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</si>
  <si>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</si>
  <si>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</si>
  <si>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</si>
  <si>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</si>
  <si>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</si>
  <si>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</si>
  <si>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</si>
  <si>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</si>
  <si>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</si>
  <si>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</si>
  <si>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</si>
  <si>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</si>
  <si>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</si>
  <si>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</si>
  <si>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</si>
  <si>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</si>
  <si>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</si>
  <si>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</si>
  <si>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</si>
  <si>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</si>
  <si>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</si>
  <si>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</si>
  <si>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</si>
  <si>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</si>
  <si>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</si>
  <si>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</si>
  <si>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</si>
  <si>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</si>
  <si>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</si>
  <si>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</si>
  <si>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</si>
  <si>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</si>
  <si>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</si>
  <si>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</si>
  <si>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</si>
  <si>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</si>
  <si>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</si>
  <si>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</si>
  <si>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</si>
  <si>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</si>
  <si>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</si>
  <si>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</si>
  <si>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</si>
  <si>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</si>
  <si>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</si>
  <si>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</si>
  <si>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</si>
  <si>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</si>
  <si>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</si>
  <si>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</si>
  <si>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</si>
  <si>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</si>
  <si>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</si>
  <si>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</si>
  <si>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</si>
  <si>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</si>
  <si>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</si>
  <si>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</si>
  <si>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</si>
  <si>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</si>
  <si>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</si>
  <si>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</si>
  <si>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</si>
  <si>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</si>
  <si>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</si>
  <si>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</si>
  <si>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</si>
  <si>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</si>
  <si>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</si>
  <si>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</si>
  <si>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</si>
  <si>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</si>
  <si>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</si>
  <si>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</si>
  <si>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</si>
  <si>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</si>
  <si>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</si>
  <si>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</si>
  <si>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</si>
  <si>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</si>
  <si>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</si>
  <si>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</si>
  <si>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</si>
  <si>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</si>
  <si>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</si>
  <si>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</si>
  <si>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</si>
  <si>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</si>
  <si>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</si>
  <si>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</si>
  <si>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</si>
  <si>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</si>
  <si>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</si>
  <si>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</si>
  <si>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</si>
  <si>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</si>
  <si>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</si>
  <si>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</si>
  <si>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</si>
  <si>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</si>
  <si>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</si>
  <si>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</si>
  <si>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</si>
  <si>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</si>
  <si>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</si>
  <si>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</si>
  <si>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</si>
  <si>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</si>
  <si>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</si>
  <si>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</si>
  <si>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</si>
  <si>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</si>
  <si>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</si>
  <si>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</si>
  <si>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</si>
  <si>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</si>
  <si>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</si>
  <si>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</si>
  <si>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</si>
  <si>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</si>
  <si>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</si>
  <si>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</si>
  <si>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</si>
  <si>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</si>
  <si>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</si>
  <si>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</si>
  <si>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</si>
  <si>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</si>
  <si>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</si>
  <si>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</si>
  <si>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</si>
  <si>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</si>
  <si>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</si>
  <si>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</si>
  <si>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</si>
  <si>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</si>
  <si>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</si>
  <si>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</si>
  <si>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</si>
  <si>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</si>
  <si>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</si>
  <si>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</si>
  <si>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</si>
  <si>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</si>
  <si>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</si>
  <si>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</si>
  <si>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</si>
  <si>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</si>
  <si>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</si>
  <si>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</si>
  <si>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</si>
  <si>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</si>
  <si>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</si>
  <si>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</si>
  <si>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</si>
  <si>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</si>
  <si>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</si>
  <si>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</si>
  <si>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</si>
  <si>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</si>
  <si>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</si>
  <si>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</si>
  <si>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</si>
  <si>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</si>
  <si>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</si>
  <si>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</si>
  <si>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</si>
  <si>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</si>
  <si>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</si>
  <si>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</si>
  <si>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</si>
  <si>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</si>
  <si>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</si>
  <si>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</si>
  <si>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</si>
  <si>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</si>
  <si>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</si>
  <si>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</si>
  <si>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</si>
  <si>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</si>
  <si>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</si>
  <si>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</si>
  <si>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</si>
  <si>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</si>
  <si>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</si>
  <si>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</si>
  <si>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</si>
  <si>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</si>
  <si>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</si>
  <si>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</si>
  <si>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</si>
  <si>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</si>
  <si>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</si>
  <si>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</si>
  <si>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</si>
  <si>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</si>
  <si>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</si>
  <si>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</si>
  <si>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</si>
  <si>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</si>
  <si>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</si>
  <si>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</si>
  <si>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</si>
  <si>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</si>
  <si>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</si>
  <si>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</si>
  <si>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</si>
  <si>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</si>
  <si>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</si>
  <si>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</si>
  <si>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</si>
  <si>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</si>
  <si>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</si>
  <si>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</si>
  <si>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</si>
  <si>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</si>
  <si>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</si>
  <si>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</si>
  <si>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</si>
  <si>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</si>
  <si>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</si>
  <si>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</si>
  <si>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</si>
  <si>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</si>
  <si>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</si>
  <si>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</si>
  <si>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</si>
  <si>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</si>
  <si>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</si>
  <si>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</si>
  <si>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</si>
  <si>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</si>
  <si>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</si>
  <si>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</si>
  <si>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</si>
  <si>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</si>
  <si>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</si>
  <si>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</si>
  <si>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</si>
  <si>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</si>
  <si>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</si>
  <si>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</si>
  <si>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</si>
  <si>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</si>
  <si>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</si>
  <si>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</si>
  <si>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</si>
  <si>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</si>
  <si>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</si>
  <si>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</si>
  <si>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</si>
  <si>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</si>
  <si>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</si>
  <si>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</si>
  <si>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</si>
  <si>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</si>
  <si>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</si>
  <si>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</si>
  <si>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</si>
  <si>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</si>
  <si>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</si>
  <si>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</si>
  <si>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</si>
  <si>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</si>
  <si>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</si>
  <si>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</si>
  <si>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</si>
  <si>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</si>
  <si>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</si>
  <si>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</si>
  <si>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</si>
  <si>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</si>
  <si>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</si>
  <si>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</si>
  <si>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</si>
  <si>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</si>
  <si>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</si>
  <si>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</si>
  <si>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</si>
  <si>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</si>
  <si>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</si>
  <si>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</si>
  <si>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</si>
  <si>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</si>
  <si>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</si>
  <si>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</si>
  <si>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</si>
  <si>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</si>
  <si>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</si>
  <si>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</si>
  <si>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</si>
  <si>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</si>
  <si>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</si>
  <si>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</si>
  <si>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</si>
  <si>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</si>
  <si>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</si>
  <si>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</si>
  <si>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</si>
  <si>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</si>
  <si>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</si>
  <si>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</si>
  <si>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</si>
  <si>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</si>
  <si>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</si>
  <si>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</si>
  <si>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</si>
  <si>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</si>
  <si>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</si>
  <si>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</si>
  <si>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</si>
  <si>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</si>
  <si>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</si>
  <si>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</si>
  <si>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</si>
  <si>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</si>
  <si>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</si>
  <si>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</si>
  <si>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</si>
  <si>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</si>
  <si>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</si>
  <si>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</si>
  <si>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</si>
  <si>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</si>
  <si>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</si>
  <si>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</si>
  <si>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</si>
  <si>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</si>
  <si>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</si>
  <si>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</si>
  <si>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</si>
  <si>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</si>
  <si>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</si>
  <si>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</si>
  <si>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</si>
  <si>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</si>
  <si>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</si>
  <si>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</si>
  <si>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</si>
  <si>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</si>
  <si>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</si>
  <si>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</si>
  <si>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</si>
  <si>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</si>
  <si>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</si>
  <si>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</si>
  <si>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</si>
  <si>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</si>
  <si>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</si>
  <si>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</si>
  <si>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</si>
  <si>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</si>
  <si>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</si>
  <si>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</si>
  <si>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</si>
  <si>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</si>
  <si>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</si>
  <si>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</si>
  <si>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</si>
  <si>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</si>
  <si>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</si>
  <si>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</si>
  <si>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</si>
  <si>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</si>
  <si>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</si>
  <si>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</si>
  <si>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</si>
  <si>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</si>
  <si>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</si>
  <si>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</si>
  <si>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</si>
  <si>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</si>
  <si>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</si>
  <si>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</si>
  <si>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</si>
  <si>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</si>
  <si>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</si>
  <si>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</si>
  <si>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</si>
  <si>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</si>
  <si>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</si>
  <si>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</si>
  <si>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</si>
  <si>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</si>
  <si>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</si>
  <si>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</si>
  <si>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</si>
  <si>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</si>
  <si>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</si>
  <si>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</si>
  <si>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</si>
  <si>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</si>
  <si>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</si>
  <si>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</si>
  <si>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</si>
  <si>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</si>
  <si>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</si>
  <si>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</si>
  <si>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</si>
  <si>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</si>
  <si>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</si>
  <si>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</si>
  <si>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</si>
  <si>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</si>
  <si>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</si>
  <si>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</si>
  <si>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</si>
  <si>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</si>
  <si>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</si>
  <si>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</si>
  <si>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</si>
  <si>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</si>
  <si>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</si>
  <si>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</si>
  <si>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</si>
  <si>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</si>
  <si>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</si>
  <si>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</si>
  <si>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</si>
  <si>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</si>
  <si>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</si>
  <si>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</si>
  <si>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</si>
  <si>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</si>
  <si>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</si>
  <si>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</si>
  <si>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</si>
  <si>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</si>
  <si>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</si>
  <si>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</si>
  <si>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</si>
  <si>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</si>
  <si>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</si>
  <si>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</si>
  <si>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</si>
  <si>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</si>
  <si>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</si>
  <si>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</si>
  <si>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</si>
  <si>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</si>
  <si>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</si>
  <si>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</si>
  <si>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</si>
  <si>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</si>
  <si>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</si>
  <si>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</si>
  <si>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</si>
  <si>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</si>
  <si>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</si>
  <si>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</si>
  <si>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</si>
  <si>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</si>
  <si>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</si>
  <si>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</si>
  <si>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</si>
  <si>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</si>
  <si>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</si>
  <si>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</si>
  <si>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</si>
  <si>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</si>
  <si>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</si>
  <si>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</si>
  <si>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</si>
  <si>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</si>
  <si>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</si>
  <si>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</si>
  <si>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</si>
  <si>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</si>
  <si>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</si>
  <si>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</si>
  <si>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</si>
  <si>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</si>
  <si>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</si>
  <si>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</si>
  <si>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</si>
  <si>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</si>
  <si>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</si>
  <si>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</si>
  <si>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</si>
  <si>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</si>
  <si>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</si>
  <si>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</si>
  <si>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</si>
  <si>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</si>
  <si>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</si>
  <si>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</si>
  <si>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</si>
  <si>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</si>
  <si>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</si>
  <si>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</si>
  <si>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</si>
  <si>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</si>
  <si>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</si>
  <si>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</si>
  <si>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</si>
  <si>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</si>
  <si>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</si>
  <si>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</si>
  <si>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</si>
  <si>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</si>
  <si>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</si>
  <si>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</si>
  <si>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</si>
  <si>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</si>
  <si>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</si>
  <si>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</si>
  <si>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</si>
  <si>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</si>
  <si>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</si>
  <si>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</si>
  <si>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</si>
  <si>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</si>
  <si>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</si>
  <si>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</si>
  <si>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</si>
  <si>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</si>
  <si>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</si>
  <si>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</si>
  <si>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</si>
  <si>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</si>
  <si>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</si>
  <si>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</si>
  <si>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</si>
  <si>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</si>
  <si>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</si>
  <si>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</si>
  <si>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</si>
  <si>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</si>
  <si>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</si>
  <si>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</si>
  <si>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</si>
  <si>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</si>
  <si>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</si>
  <si>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</si>
  <si>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</si>
  <si>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</si>
  <si>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</si>
  <si>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</si>
  <si>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</si>
  <si>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</si>
  <si>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</si>
  <si>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</si>
  <si>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</si>
  <si>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</si>
  <si>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</si>
  <si>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</si>
  <si>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</si>
  <si>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</si>
  <si>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</si>
  <si>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</si>
  <si>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</si>
  <si>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</si>
  <si>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</si>
  <si>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</si>
  <si>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</si>
  <si>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</si>
  <si>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</si>
  <si>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</si>
  <si>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</si>
  <si>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</si>
  <si>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</si>
  <si>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</si>
  <si>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</si>
  <si>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</si>
  <si>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</si>
  <si>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</si>
  <si>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</si>
  <si>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</si>
  <si>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</si>
  <si>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</si>
  <si>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</si>
  <si>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</si>
  <si>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</si>
  <si>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</si>
  <si>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</si>
  <si>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</si>
  <si>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</si>
  <si>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</si>
  <si>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</si>
  <si>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</si>
  <si>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</si>
  <si>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</si>
  <si>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</si>
  <si>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</si>
  <si>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</si>
  <si>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</si>
  <si>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</si>
  <si>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</si>
  <si>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</si>
  <si>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</si>
  <si>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</si>
  <si>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</si>
  <si>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</si>
  <si>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</si>
  <si>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</si>
  <si>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</si>
  <si>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</si>
  <si>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</si>
  <si>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</si>
  <si>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</si>
  <si>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</si>
  <si>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</si>
  <si>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</si>
  <si>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</si>
  <si>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</si>
  <si>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</si>
  <si>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</si>
  <si>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</si>
  <si>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</si>
  <si>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</si>
  <si>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</si>
  <si>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</si>
  <si>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</si>
  <si>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</si>
  <si>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</si>
  <si>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</si>
  <si>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</si>
  <si>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</si>
  <si>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</si>
  <si>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</si>
  <si>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</si>
  <si>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</si>
  <si>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</si>
  <si>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</si>
  <si>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</si>
  <si>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</si>
  <si>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</si>
  <si>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</si>
  <si>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</si>
  <si>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</si>
  <si>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</si>
  <si>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</si>
  <si>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</si>
  <si>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</si>
  <si>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</si>
  <si>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</si>
  <si>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</si>
  <si>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</si>
  <si>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</si>
  <si>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</si>
  <si>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</si>
  <si>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</si>
  <si>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</si>
  <si>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</si>
  <si>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</si>
  <si>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</si>
  <si>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</si>
  <si>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</si>
  <si>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</si>
  <si>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</si>
  <si>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</si>
  <si>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</si>
  <si>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</si>
  <si>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</si>
  <si>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</si>
  <si>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</si>
  <si>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</si>
  <si>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</si>
  <si>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</si>
  <si>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</si>
  <si>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</si>
  <si>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</si>
  <si>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</si>
  <si>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</si>
  <si>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</si>
  <si>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</si>
  <si>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</si>
  <si>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</si>
  <si>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</si>
  <si>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</si>
  <si>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</si>
  <si>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</si>
  <si>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</si>
  <si>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</si>
  <si>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</si>
  <si>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</si>
  <si>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</si>
  <si>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</si>
  <si>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</si>
  <si>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</si>
  <si>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</si>
  <si>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</si>
  <si>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</si>
  <si>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</si>
  <si>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</si>
  <si>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</si>
  <si>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</si>
  <si>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</si>
  <si>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</si>
  <si>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</si>
  <si>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</si>
  <si>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</si>
  <si>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</si>
  <si>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</si>
  <si>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</si>
  <si>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</si>
  <si>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</si>
  <si>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</si>
  <si>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</si>
  <si>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</si>
  <si>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</si>
  <si>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</si>
  <si>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</si>
  <si>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</si>
  <si>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</si>
  <si>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</si>
  <si>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</si>
  <si>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</si>
  <si>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</si>
  <si>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</si>
  <si>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</si>
  <si>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</si>
  <si>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</si>
  <si>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</si>
  <si>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</si>
  <si>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</si>
  <si>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</si>
  <si>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</si>
  <si>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</si>
  <si>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</si>
  <si>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</si>
  <si>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</si>
  <si>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</si>
  <si>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</si>
  <si>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</si>
  <si>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</si>
  <si>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</si>
  <si>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</si>
  <si>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</si>
  <si>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</si>
  <si>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</si>
  <si>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</si>
  <si>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</si>
  <si>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</si>
  <si>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</si>
  <si>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</si>
  <si>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</si>
  <si>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</si>
  <si>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</si>
  <si>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</si>
  <si>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</si>
  <si>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</si>
  <si>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</si>
  <si>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</si>
  <si>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</si>
  <si>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</si>
  <si>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</si>
  <si>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</si>
  <si>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</si>
  <si>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</si>
  <si>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</si>
  <si>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</si>
  <si>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</si>
  <si>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</si>
  <si>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</si>
  <si>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</si>
  <si>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</si>
  <si>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</si>
  <si>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</si>
  <si>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</si>
  <si>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</si>
  <si>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</si>
  <si>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</si>
  <si>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</si>
  <si>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</si>
  <si>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</si>
  <si>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</si>
  <si>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</si>
  <si>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</si>
  <si>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</si>
  <si>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</si>
  <si>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</si>
  <si>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</si>
  <si>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</si>
  <si>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</si>
  <si>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</si>
  <si>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</si>
  <si>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</si>
  <si>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</si>
  <si>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</si>
  <si>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</si>
  <si>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</si>
  <si>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</si>
  <si>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</si>
  <si>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</si>
  <si>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</si>
  <si>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</si>
  <si>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</si>
  <si>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</si>
  <si>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</si>
  <si>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</si>
  <si>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</si>
  <si>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</si>
  <si>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</si>
  <si>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</si>
  <si>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</si>
  <si>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</si>
  <si>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</si>
  <si>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</si>
  <si>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</si>
  <si>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</si>
  <si>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</si>
  <si>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</si>
  <si>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</si>
  <si>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</si>
  <si>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</si>
  <si>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</si>
  <si>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</si>
  <si>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</si>
  <si>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</si>
  <si>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</si>
  <si>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</si>
  <si>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</si>
  <si>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</si>
  <si>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</si>
  <si>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</si>
  <si>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</si>
  <si>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</si>
  <si>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</si>
  <si>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</si>
  <si>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</si>
  <si>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</si>
  <si>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</si>
  <si>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</si>
  <si>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</si>
  <si>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</si>
  <si>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</si>
  <si>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</si>
  <si>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</si>
  <si>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</si>
  <si>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</si>
  <si>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</si>
  <si>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</si>
  <si>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</si>
  <si>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</si>
  <si>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</si>
  <si>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</si>
  <si>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</si>
  <si>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</si>
  <si>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</si>
  <si>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</si>
  <si>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</si>
  <si>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</si>
  <si>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</si>
  <si>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</si>
  <si>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</si>
  <si>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</si>
  <si>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</si>
  <si>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</si>
  <si>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</si>
  <si>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</si>
  <si>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</si>
  <si>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</si>
  <si>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</si>
  <si>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</si>
  <si>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</si>
  <si>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</si>
  <si>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</si>
  <si>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</si>
  <si>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</si>
  <si>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</si>
  <si>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</si>
  <si>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</si>
  <si>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</si>
  <si>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</si>
  <si>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</si>
  <si>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</si>
  <si>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</si>
  <si>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</si>
  <si>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</si>
  <si>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</si>
  <si>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</si>
  <si>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</si>
  <si>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</si>
  <si>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</si>
  <si>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</si>
  <si>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</si>
  <si>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</si>
  <si>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</si>
  <si>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</si>
  <si>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</si>
  <si>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</si>
  <si>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</si>
  <si>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</si>
  <si>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</si>
  <si>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</si>
  <si>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</si>
  <si>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</si>
  <si>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</si>
  <si>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</si>
  <si>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</si>
  <si>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</si>
  <si>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</si>
  <si>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</si>
  <si>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</si>
  <si>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</si>
  <si>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</si>
  <si>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</si>
  <si>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</si>
  <si>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</si>
  <si>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</si>
  <si>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</si>
  <si>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</si>
  <si>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</si>
  <si>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</si>
  <si>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</si>
  <si>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</si>
  <si>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</si>
  <si>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</si>
  <si>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</si>
  <si>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</si>
  <si>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</si>
  <si>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</si>
  <si>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</si>
  <si>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</si>
  <si>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</si>
  <si>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</si>
  <si>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</si>
  <si>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</si>
  <si>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</si>
  <si>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</si>
  <si>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</si>
  <si>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</si>
  <si>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</si>
  <si>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</si>
  <si>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</si>
  <si>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</si>
  <si>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</si>
  <si>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</si>
  <si>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</si>
  <si>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</si>
  <si>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</si>
  <si>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</si>
  <si>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</si>
  <si>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</si>
  <si>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</si>
  <si>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</si>
  <si>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</si>
  <si>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</si>
  <si>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</si>
  <si>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</si>
  <si>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</si>
  <si>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</si>
  <si>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</si>
  <si>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</si>
  <si>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</si>
  <si>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</si>
  <si>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</si>
  <si>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</si>
  <si>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</si>
  <si>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</si>
  <si>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</si>
  <si>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</si>
  <si>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</si>
  <si>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</si>
  <si>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</si>
  <si>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</si>
  <si>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</si>
  <si>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</si>
  <si>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</si>
  <si>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</si>
  <si>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</si>
  <si>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</si>
  <si>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</si>
  <si>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</si>
  <si>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</si>
  <si>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</si>
  <si>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</si>
  <si>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</si>
  <si>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</si>
  <si>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</si>
  <si>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</si>
  <si>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</si>
  <si>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</si>
  <si>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</si>
  <si>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</si>
  <si>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</si>
  <si>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</si>
  <si>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</si>
  <si>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</si>
  <si>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</si>
  <si>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</si>
  <si>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</si>
  <si>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</si>
  <si>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</si>
  <si>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</si>
  <si>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</si>
  <si>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</si>
  <si>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</si>
  <si>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</si>
  <si>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</si>
  <si>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</si>
  <si>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</si>
  <si>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</si>
  <si>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</si>
  <si>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</si>
  <si>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</si>
  <si>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</si>
  <si>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</si>
  <si>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</si>
  <si>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</si>
  <si>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</si>
  <si>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</si>
  <si>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</si>
  <si>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</si>
  <si>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</si>
  <si>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</si>
  <si>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</si>
  <si>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</si>
  <si>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</si>
  <si>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</si>
  <si>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</si>
  <si>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</si>
  <si>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</si>
  <si>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</si>
  <si>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</si>
  <si>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</si>
  <si>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</si>
  <si>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</si>
  <si>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</si>
  <si>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</si>
  <si>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</si>
  <si>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</si>
  <si>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</si>
  <si>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</si>
  <si>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</si>
  <si>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</si>
  <si>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</si>
  <si>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</si>
  <si>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</si>
  <si>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</si>
  <si>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</si>
  <si>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</si>
  <si>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</si>
  <si>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</si>
  <si>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</si>
  <si>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</si>
  <si>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</si>
  <si>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</si>
  <si>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</si>
  <si>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</si>
  <si>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</si>
  <si>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</si>
  <si>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</si>
  <si>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</si>
  <si>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</si>
  <si>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</si>
  <si>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</si>
  <si>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</si>
  <si>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</si>
  <si>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</si>
  <si>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</si>
  <si>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</si>
  <si>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</si>
  <si>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</si>
  <si>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</si>
  <si>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</si>
  <si>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</si>
  <si>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</si>
  <si>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</si>
  <si>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</si>
  <si>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</si>
  <si>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</si>
  <si>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</si>
  <si>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</si>
  <si>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</si>
  <si>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</si>
  <si>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</si>
  <si>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</si>
  <si>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</si>
  <si>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</si>
  <si>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</si>
  <si>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</si>
  <si>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</si>
  <si>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</si>
  <si>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</si>
  <si>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</si>
  <si>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</si>
  <si>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</si>
  <si>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</si>
  <si>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</si>
  <si>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</si>
  <si>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</si>
  <si>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</si>
  <si>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</si>
  <si>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</si>
  <si>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</si>
  <si>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</si>
  <si>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</si>
  <si>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</si>
  <si>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</si>
  <si>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</si>
  <si>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</si>
  <si>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</si>
  <si>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</si>
  <si>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</si>
  <si>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</si>
  <si>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</si>
  <si>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</si>
  <si>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</si>
  <si>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</si>
  <si>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</si>
  <si>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</si>
  <si>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</si>
  <si>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</si>
  <si>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</si>
  <si>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</si>
  <si>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</si>
  <si>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</si>
  <si>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</si>
  <si>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</si>
  <si>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</si>
  <si>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</si>
  <si>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</si>
  <si>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</si>
  <si>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</si>
  <si>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</si>
  <si>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</si>
  <si>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</si>
  <si>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</si>
  <si>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</si>
  <si>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</si>
  <si>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</si>
  <si>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</si>
  <si>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</si>
  <si>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</si>
  <si>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</si>
  <si>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</si>
  <si>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</si>
  <si>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</si>
  <si>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</si>
  <si>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</si>
  <si>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</si>
  <si>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</si>
  <si>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</si>
  <si>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</si>
  <si>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</si>
  <si>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</si>
  <si>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</si>
  <si>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</si>
  <si>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</si>
  <si>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</si>
  <si>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</si>
  <si>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</si>
  <si>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</si>
  <si>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</si>
  <si>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</si>
  <si>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</si>
  <si>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</si>
  <si>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</si>
  <si>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</si>
  <si>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</si>
  <si>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</si>
  <si>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</si>
  <si>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</si>
  <si>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</si>
  <si>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</si>
  <si>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</si>
  <si>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</si>
  <si>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</si>
  <si>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</si>
  <si>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</si>
  <si>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</si>
  <si>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</si>
  <si>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</si>
  <si>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</si>
  <si>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</si>
  <si>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</si>
  <si>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</si>
  <si>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</si>
  <si>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</si>
  <si>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</si>
  <si>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</si>
  <si>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</si>
  <si>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</si>
  <si>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</si>
  <si>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</si>
  <si>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</si>
  <si>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</si>
  <si>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</si>
  <si>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</si>
  <si>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</si>
  <si>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</si>
  <si>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</si>
  <si>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</si>
  <si>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</si>
  <si>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</si>
  <si>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</si>
  <si>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</si>
  <si>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</si>
  <si>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</si>
  <si>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</si>
  <si>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</si>
  <si>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</si>
  <si>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</si>
  <si>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</si>
  <si>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</si>
  <si>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</si>
  <si>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</si>
  <si>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</si>
  <si>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</si>
  <si>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</si>
  <si>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</si>
  <si>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</si>
  <si>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</si>
  <si>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</si>
  <si>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</si>
  <si>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</si>
  <si>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</si>
  <si>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</si>
  <si>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</si>
  <si>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</si>
  <si>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</si>
  <si>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</si>
  <si>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</si>
  <si>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</si>
  <si>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</si>
  <si>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</si>
  <si>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</si>
  <si>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</si>
  <si>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</si>
  <si>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</si>
  <si>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</si>
  <si>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</si>
  <si>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</si>
  <si>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</si>
  <si>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</si>
  <si>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</si>
  <si>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</si>
  <si>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</si>
  <si>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</si>
  <si>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</si>
  <si>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</si>
  <si>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</si>
  <si>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</si>
  <si>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</si>
  <si>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</si>
  <si>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</si>
  <si>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</si>
  <si>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</si>
  <si>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</si>
  <si>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</si>
  <si>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</si>
  <si>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</si>
  <si>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</si>
  <si>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</si>
  <si>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</si>
  <si>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</si>
  <si>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</si>
  <si>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</si>
  <si>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</si>
  <si>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</si>
  <si>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</si>
  <si>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</si>
  <si>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</si>
  <si>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</si>
  <si>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</si>
  <si>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</si>
  <si>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</si>
  <si>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</si>
  <si>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</si>
  <si>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</si>
  <si>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</si>
  <si>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</si>
  <si>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</si>
  <si>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</si>
  <si>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</si>
  <si>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</si>
  <si>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</si>
  <si>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</si>
  <si>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</si>
  <si>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</si>
  <si>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</si>
  <si>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</si>
  <si>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</si>
  <si>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</si>
  <si>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</si>
  <si>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</si>
  <si>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</si>
  <si>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</si>
  <si>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</si>
  <si>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</si>
  <si>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</si>
  <si>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</si>
  <si>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</si>
  <si>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</si>
  <si>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</si>
  <si>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</si>
  <si>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</si>
  <si>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</si>
  <si>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</si>
  <si>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</si>
  <si>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</si>
  <si>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</si>
  <si>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</si>
  <si>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</si>
  <si>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</si>
  <si>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</si>
  <si>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</si>
  <si>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</si>
  <si>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</si>
  <si>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</si>
  <si>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</si>
  <si>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</si>
  <si>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</si>
  <si>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</si>
  <si>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</si>
  <si>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</si>
  <si>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</si>
  <si>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</si>
  <si>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</si>
  <si>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</si>
  <si>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</si>
  <si>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</si>
  <si>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</si>
  <si>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</si>
  <si>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</si>
  <si>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</si>
  <si>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</si>
  <si>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</si>
  <si>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</si>
  <si>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</si>
  <si>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</si>
  <si>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</si>
  <si>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</si>
  <si>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</si>
  <si>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</si>
  <si>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</si>
  <si>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</si>
  <si>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</si>
  <si>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</si>
  <si>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</si>
  <si>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</si>
  <si>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</si>
  <si>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</si>
  <si>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</si>
  <si>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</si>
  <si>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</si>
  <si>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</si>
  <si>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</si>
  <si>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</si>
  <si>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</si>
  <si>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</si>
  <si>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</si>
  <si>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</si>
  <si>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</si>
  <si>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</si>
  <si>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</si>
  <si>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</si>
  <si>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</si>
  <si>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</si>
  <si>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</si>
  <si>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</si>
  <si>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</si>
  <si>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</si>
  <si>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</si>
  <si>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</si>
  <si>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</si>
  <si>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</si>
  <si>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</si>
  <si>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</si>
  <si>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</si>
  <si>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</si>
  <si>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</si>
  <si>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</si>
  <si>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</si>
  <si>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</si>
  <si>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</si>
  <si>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</si>
  <si>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</si>
  <si>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</si>
  <si>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</si>
  <si>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</si>
  <si>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</si>
  <si>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</si>
  <si>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</si>
  <si>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</si>
  <si>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</si>
  <si>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</si>
  <si>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</si>
  <si>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</si>
  <si>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</si>
  <si>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</si>
  <si>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</si>
  <si>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</si>
  <si>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</si>
  <si>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</si>
  <si>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</si>
  <si>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</si>
  <si>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</si>
  <si>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</si>
  <si>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</si>
  <si>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</si>
  <si>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</si>
  <si>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</si>
  <si>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</si>
  <si>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</si>
  <si>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</si>
  <si>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</si>
  <si>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</si>
  <si>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</si>
  <si>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</si>
  <si>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</si>
  <si>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</si>
  <si>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</si>
  <si>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</si>
  <si>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</si>
  <si>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</si>
  <si>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</si>
  <si>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</si>
  <si>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</si>
  <si>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</si>
  <si>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</si>
  <si>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</si>
  <si>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</si>
  <si>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</si>
  <si>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</si>
  <si>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</si>
  <si>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</si>
  <si>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</si>
  <si>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</si>
  <si>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</si>
  <si>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</si>
  <si>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</si>
  <si>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</si>
  <si>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</si>
  <si>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</si>
  <si>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</si>
  <si>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</si>
  <si>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</si>
  <si>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</si>
  <si>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</si>
  <si>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</si>
  <si>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</si>
  <si>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</si>
  <si>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</si>
  <si>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</si>
  <si>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</si>
  <si>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</si>
  <si>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</si>
  <si>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</si>
  <si>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</si>
  <si>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</si>
  <si>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</si>
  <si>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</si>
  <si>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</si>
  <si>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</si>
  <si>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</si>
  <si>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</si>
  <si>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</si>
  <si>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</si>
  <si>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</si>
  <si>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</si>
  <si>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</si>
  <si>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</si>
  <si>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</si>
  <si>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</si>
  <si>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</si>
  <si>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</si>
  <si>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</si>
  <si>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</si>
  <si>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</si>
  <si>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</si>
  <si>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</si>
  <si>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</si>
  <si>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</si>
  <si>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</si>
  <si>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</si>
  <si>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</si>
  <si>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</si>
  <si>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</si>
  <si>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</si>
  <si>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</si>
  <si>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</si>
  <si>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</si>
  <si>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</si>
  <si>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</si>
  <si>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</si>
  <si>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</si>
  <si>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</si>
  <si>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</si>
  <si>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</si>
  <si>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</si>
  <si>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</si>
  <si>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</si>
  <si>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</si>
  <si>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</si>
  <si>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</si>
  <si>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</si>
  <si>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</si>
  <si>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</si>
  <si>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</si>
  <si>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</si>
  <si>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</si>
  <si>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</si>
  <si>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</si>
  <si>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</si>
  <si>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</si>
  <si>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</si>
  <si>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</si>
  <si>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</si>
  <si>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</si>
  <si>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</si>
  <si>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</si>
  <si>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</si>
  <si>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</si>
  <si>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</si>
  <si>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</si>
  <si>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</si>
  <si>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</si>
  <si>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</si>
  <si>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</si>
  <si>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</si>
  <si>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</si>
  <si>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</si>
  <si>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</si>
  <si>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</si>
  <si>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</si>
  <si>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</si>
  <si>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</si>
  <si>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</si>
  <si>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</si>
  <si>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</si>
  <si>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</si>
  <si>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</si>
  <si>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</si>
  <si>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</si>
  <si>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</si>
  <si>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</si>
  <si>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</si>
  <si>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</si>
  <si>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</si>
  <si>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</si>
  <si>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</si>
  <si>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</si>
  <si>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</si>
  <si>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</si>
  <si>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</si>
  <si>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</si>
  <si>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</si>
  <si>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</si>
  <si>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</si>
  <si>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</si>
  <si>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</si>
  <si>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</si>
  <si>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</si>
  <si>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</si>
  <si>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</si>
  <si>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</si>
  <si>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</si>
  <si>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</si>
  <si>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</si>
  <si>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</si>
  <si>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</si>
  <si>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</si>
  <si>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</si>
  <si>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</si>
  <si>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</si>
  <si>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</si>
  <si>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</si>
  <si>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</si>
  <si>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</si>
  <si>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</si>
  <si>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</si>
  <si>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</si>
  <si>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</si>
  <si>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</si>
  <si>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</si>
  <si>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</si>
  <si>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</si>
  <si>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</si>
  <si>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</si>
  <si>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</si>
  <si>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</si>
  <si>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</si>
  <si>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</si>
  <si>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</si>
  <si>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</si>
  <si>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</si>
  <si>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</si>
  <si>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</si>
  <si>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</si>
  <si>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</si>
  <si>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</si>
  <si>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</si>
  <si>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</si>
  <si>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</si>
  <si>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</si>
  <si>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</si>
  <si>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</si>
  <si>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</si>
  <si>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</si>
  <si>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</si>
  <si>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</si>
  <si>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</si>
  <si>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</si>
  <si>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</si>
  <si>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</si>
  <si>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</si>
  <si>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</si>
  <si>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</si>
  <si>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</si>
  <si>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</si>
  <si>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</si>
  <si>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</si>
  <si>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</si>
  <si>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</si>
  <si>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</si>
  <si>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</si>
  <si>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</si>
  <si>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</si>
  <si>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</si>
  <si>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</si>
  <si>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</si>
  <si>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</si>
  <si>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</si>
  <si>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</si>
  <si>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</si>
  <si>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</si>
  <si>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</si>
  <si>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</si>
  <si>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</si>
  <si>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</si>
  <si>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</si>
  <si>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</si>
  <si>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</si>
  <si>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</si>
  <si>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</si>
  <si>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</si>
  <si>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</si>
  <si>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</si>
  <si>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</si>
  <si>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</si>
  <si>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</si>
  <si>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</si>
  <si>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</si>
  <si>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</si>
  <si>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</si>
  <si>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</si>
  <si>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</si>
  <si>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</si>
  <si>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</si>
  <si>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</si>
  <si>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</si>
  <si>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</si>
  <si>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</si>
  <si>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</si>
  <si>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</si>
  <si>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</si>
  <si>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</si>
  <si>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</si>
  <si>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</si>
  <si>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</si>
  <si>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</si>
  <si>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</si>
  <si>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</si>
  <si>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</si>
  <si>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</si>
  <si>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</si>
  <si>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</si>
  <si>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</si>
  <si>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</si>
  <si>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</si>
  <si>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</si>
  <si>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</si>
  <si>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</si>
  <si>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</si>
  <si>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</si>
  <si>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</si>
  <si>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</si>
  <si>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</si>
  <si>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</si>
  <si>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</si>
  <si>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</si>
  <si>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</si>
  <si>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</si>
  <si>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</si>
  <si>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</si>
  <si>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</si>
  <si>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</si>
  <si>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</si>
  <si>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</si>
  <si>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</si>
  <si>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</si>
  <si>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</si>
  <si>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</si>
  <si>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</si>
  <si>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</si>
  <si>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</si>
  <si>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</si>
  <si>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</si>
  <si>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</si>
  <si>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</si>
  <si>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</si>
  <si>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</si>
  <si>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</si>
  <si>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</si>
  <si>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</si>
  <si>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</si>
  <si>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</si>
  <si>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</si>
  <si>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</si>
  <si>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</si>
  <si>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</si>
  <si>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</si>
  <si>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</si>
  <si>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</si>
  <si>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</si>
  <si>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</si>
  <si>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</si>
  <si>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</si>
  <si>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</si>
  <si>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</si>
  <si>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</si>
  <si>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</si>
  <si>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</si>
  <si>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</si>
  <si>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</si>
  <si>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</si>
  <si>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</si>
  <si>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</si>
  <si>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</si>
  <si>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</si>
  <si>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</si>
  <si>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</si>
  <si>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</si>
  <si>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</si>
  <si>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</si>
  <si>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</si>
  <si>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</si>
  <si>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</si>
  <si>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</si>
  <si>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</si>
  <si>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</si>
  <si>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</si>
  <si>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</si>
  <si>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</si>
  <si>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</si>
  <si>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</si>
  <si>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</si>
  <si>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</si>
  <si>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</si>
  <si>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</si>
  <si>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</si>
  <si>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</si>
  <si>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</si>
  <si>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</si>
  <si>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</si>
  <si>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</si>
  <si>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</si>
  <si>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</si>
  <si>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</si>
  <si>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</si>
  <si>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</si>
  <si>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</si>
  <si>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</si>
  <si>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</si>
  <si>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</si>
  <si>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</si>
  <si>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</si>
  <si>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</si>
  <si>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</si>
  <si>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</si>
  <si>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</si>
  <si>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</si>
  <si>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</si>
  <si>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</si>
  <si>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</si>
  <si>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</si>
  <si>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</si>
  <si>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</si>
  <si>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</si>
  <si>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</si>
  <si>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</si>
  <si>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</si>
  <si>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</si>
  <si>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</si>
  <si>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</si>
  <si>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</si>
  <si>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</si>
  <si>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</si>
  <si>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</si>
  <si>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</si>
  <si>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</si>
  <si>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</si>
  <si>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</si>
  <si>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</si>
  <si>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</si>
  <si>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</si>
  <si>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</si>
  <si>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</si>
  <si>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</si>
  <si>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</si>
  <si>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</si>
  <si>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</si>
  <si>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</si>
  <si>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</si>
  <si>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</si>
  <si>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</si>
  <si>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</si>
  <si>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</si>
  <si>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</si>
  <si>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</si>
  <si>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</si>
  <si>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</si>
  <si>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</si>
  <si>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</si>
  <si>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</si>
  <si>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</si>
  <si>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</si>
  <si>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</si>
  <si>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</si>
  <si>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</si>
  <si>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</si>
  <si>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</si>
  <si>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</si>
  <si>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</si>
  <si>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</si>
  <si>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</si>
  <si>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</si>
  <si>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</si>
  <si>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</si>
  <si>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</si>
  <si>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</si>
  <si>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</si>
  <si>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</si>
  <si>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</si>
  <si>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</si>
  <si>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</si>
  <si>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</si>
  <si>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</si>
  <si>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</si>
  <si>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</si>
  <si>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</si>
  <si>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</si>
  <si>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</si>
  <si>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</si>
  <si>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</si>
  <si>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</si>
  <si>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</si>
  <si>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</si>
  <si>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</si>
  <si>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</si>
  <si>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</si>
  <si>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</si>
  <si>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</si>
  <si>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</si>
  <si>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</si>
  <si>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</si>
  <si>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</si>
  <si>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</si>
  <si>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</si>
  <si>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</si>
  <si>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</si>
  <si>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</si>
  <si>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</si>
  <si>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</si>
  <si>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</si>
  <si>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</si>
  <si>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</si>
  <si>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</si>
  <si>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</si>
  <si>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</si>
  <si>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</si>
  <si>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</si>
  <si>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</si>
  <si>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</si>
  <si>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</si>
  <si>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</si>
  <si>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</si>
  <si>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</si>
  <si>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</si>
  <si>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</si>
  <si>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</si>
  <si>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</si>
  <si>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</si>
  <si>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</si>
  <si>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</si>
  <si>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</si>
  <si>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</si>
  <si>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</si>
  <si>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</si>
  <si>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</si>
  <si>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</si>
  <si>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</si>
  <si>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</si>
  <si>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</si>
  <si>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</si>
  <si>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</si>
  <si>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</si>
  <si>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</si>
  <si>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</si>
  <si>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</si>
  <si>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</si>
  <si>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</si>
  <si>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</si>
  <si>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</si>
  <si>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</si>
  <si>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</si>
  <si>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</si>
  <si>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</si>
  <si>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</si>
  <si>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</si>
  <si>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</si>
  <si>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</si>
  <si>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</si>
  <si>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</si>
  <si>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</si>
  <si>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</si>
  <si>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</si>
  <si>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</si>
  <si>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</si>
  <si>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</si>
  <si>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</si>
  <si>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</si>
  <si>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</si>
  <si>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</si>
  <si>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</si>
  <si>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</si>
  <si>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</si>
  <si>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</si>
  <si>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</si>
  <si>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</si>
  <si>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</si>
  <si>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</si>
  <si>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</si>
  <si>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</si>
  <si>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</si>
  <si>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</si>
  <si>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</si>
  <si>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</si>
  <si>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</si>
  <si>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</si>
  <si>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</si>
  <si>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</si>
  <si>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</si>
  <si>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</si>
  <si>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</si>
  <si>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</si>
  <si>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</si>
  <si>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</si>
  <si>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</si>
  <si>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</si>
  <si>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</si>
  <si>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</si>
  <si>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</si>
  <si>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</si>
  <si>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</si>
  <si>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</si>
  <si>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</si>
  <si>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</si>
  <si>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</si>
  <si>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</si>
  <si>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</si>
  <si>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</si>
  <si>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</si>
  <si>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</si>
  <si>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</si>
  <si>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</si>
  <si>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</si>
  <si>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</si>
  <si>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</si>
  <si>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</si>
  <si>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</si>
  <si>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</si>
  <si>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</si>
  <si>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</si>
  <si>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</si>
  <si>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</si>
  <si>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</si>
  <si>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</si>
  <si>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</si>
  <si>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</si>
  <si>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</si>
  <si>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</si>
  <si>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</si>
  <si>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</si>
  <si>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</si>
  <si>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</si>
  <si>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</si>
  <si>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</si>
  <si>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</si>
  <si>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</si>
  <si>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</si>
  <si>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</si>
  <si>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</si>
  <si>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</si>
  <si>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</si>
  <si>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</si>
  <si>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</si>
  <si>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</si>
  <si>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</si>
  <si>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</si>
  <si>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</si>
  <si>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</si>
  <si>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</si>
  <si>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</si>
  <si>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</si>
  <si>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</si>
  <si>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</si>
  <si>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</si>
  <si>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</si>
  <si>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</si>
  <si>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</si>
  <si>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</si>
  <si>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</si>
  <si>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</si>
  <si>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</si>
  <si>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</si>
  <si>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</si>
  <si>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</si>
  <si>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</si>
  <si>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</si>
  <si>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</si>
  <si>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</si>
  <si>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</si>
  <si>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</si>
  <si>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</si>
  <si>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</si>
  <si>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</si>
  <si>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</si>
  <si>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</si>
  <si>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</si>
  <si>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</si>
  <si>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</si>
  <si>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</si>
  <si>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</si>
  <si>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</si>
  <si>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</si>
  <si>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</si>
  <si>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</si>
  <si>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</si>
  <si>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</si>
  <si>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</si>
  <si>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</si>
  <si>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</si>
  <si>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</si>
  <si>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</si>
  <si>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</si>
  <si>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</si>
  <si>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</si>
  <si>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</si>
  <si>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</si>
  <si>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</si>
  <si>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</si>
  <si>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</si>
  <si>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</si>
  <si>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</si>
  <si>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</si>
  <si>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</si>
  <si>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</si>
  <si>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</si>
  <si>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</si>
  <si>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</si>
  <si>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</si>
  <si>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</si>
  <si>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</si>
  <si>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</si>
  <si>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</si>
  <si>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</si>
  <si>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</si>
  <si>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</si>
  <si>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</si>
  <si>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</si>
  <si>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</si>
  <si>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</si>
  <si>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</si>
  <si>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</si>
  <si>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</si>
  <si>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</si>
  <si>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</si>
  <si>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</si>
  <si>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</si>
  <si>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</si>
  <si>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</si>
  <si>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</si>
  <si>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</si>
  <si>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</si>
  <si>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</si>
  <si>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</si>
  <si>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</si>
  <si>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</si>
  <si>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</si>
  <si>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</si>
  <si>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</si>
  <si>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</si>
  <si>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</si>
  <si>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</si>
  <si>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</si>
  <si>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</si>
  <si>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</si>
  <si>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</si>
  <si>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</si>
  <si>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</si>
  <si>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</si>
  <si>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</si>
  <si>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</si>
  <si>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</si>
  <si>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</si>
  <si>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</si>
  <si>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</si>
  <si>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</si>
  <si>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</si>
  <si>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</si>
  <si>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</si>
  <si>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</si>
  <si>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</si>
  <si>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</si>
  <si>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</si>
  <si>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</si>
  <si>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</si>
  <si>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</si>
  <si>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</si>
  <si>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</si>
  <si>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</si>
  <si>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</si>
  <si>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</si>
  <si>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</si>
  <si>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</si>
  <si>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</si>
  <si>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</si>
  <si>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</si>
  <si>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</si>
  <si>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</si>
  <si>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</si>
  <si>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</si>
  <si>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</si>
  <si>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</si>
  <si>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</si>
  <si>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</si>
  <si>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</si>
  <si>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</si>
  <si>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</si>
  <si>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</si>
  <si>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</si>
  <si>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</si>
  <si>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</si>
  <si>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</si>
  <si>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</si>
  <si>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</si>
  <si>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</si>
  <si>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</si>
  <si>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</si>
  <si>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</si>
  <si>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</si>
  <si>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</si>
  <si>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</si>
  <si>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</si>
  <si>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</si>
  <si>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</si>
  <si>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</si>
  <si>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</si>
  <si>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</si>
  <si>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</si>
  <si>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</si>
  <si>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</si>
  <si>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</si>
  <si>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</si>
  <si>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</si>
  <si>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</si>
  <si>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</si>
  <si>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</si>
  <si>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</si>
  <si>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</si>
  <si>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</si>
  <si>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</si>
  <si>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</si>
  <si>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</si>
  <si>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</si>
  <si>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</si>
  <si>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</si>
  <si>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</si>
  <si>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</si>
  <si>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</si>
  <si>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</si>
  <si>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</si>
  <si>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</si>
  <si>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</si>
  <si>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</si>
  <si>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</si>
  <si>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</si>
  <si>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</si>
  <si>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</si>
  <si>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</si>
  <si>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</si>
  <si>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</si>
  <si>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</si>
  <si>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</si>
  <si>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</si>
  <si>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</si>
  <si>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</si>
  <si>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</si>
  <si>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</si>
  <si>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</si>
  <si>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</si>
  <si>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</si>
  <si>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</si>
  <si>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</si>
  <si>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</si>
  <si>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</si>
  <si>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</si>
  <si>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</si>
  <si>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</si>
  <si>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</si>
  <si>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</si>
  <si>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</si>
  <si>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</si>
  <si>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</si>
  <si>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</si>
  <si>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</si>
  <si>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</si>
  <si>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</si>
  <si>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</si>
  <si>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</si>
  <si>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</si>
  <si>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</si>
  <si>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</si>
  <si>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</si>
  <si>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</si>
  <si>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</si>
  <si>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</si>
  <si>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</si>
  <si>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</si>
  <si>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</si>
  <si>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</si>
  <si>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</si>
  <si>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</si>
  <si>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</si>
  <si>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</si>
  <si>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</si>
  <si>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</si>
  <si>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</si>
  <si>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</si>
  <si>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</si>
  <si>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</si>
  <si>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</si>
  <si>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</si>
  <si>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</si>
  <si>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</si>
  <si>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</si>
  <si>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</si>
  <si>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</si>
  <si>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</si>
  <si>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</si>
  <si>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</si>
  <si>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</si>
  <si>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</si>
  <si>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</si>
  <si>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</si>
  <si>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</si>
  <si>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</si>
  <si>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</si>
  <si>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</si>
  <si>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</si>
  <si>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</si>
  <si>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</si>
  <si>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</si>
  <si>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</si>
  <si>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</si>
  <si>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</si>
  <si>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</si>
  <si>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</si>
  <si>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</si>
  <si>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</si>
  <si>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</si>
  <si>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</si>
  <si>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</si>
  <si>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</si>
  <si>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</si>
  <si>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</si>
  <si>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</si>
  <si>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</si>
  <si>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</si>
  <si>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</si>
  <si>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</si>
  <si>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</si>
  <si>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</si>
  <si>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</si>
  <si>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</si>
  <si>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</si>
  <si>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</si>
  <si>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</si>
  <si>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</si>
  <si>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</si>
  <si>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</si>
  <si>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</si>
  <si>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</si>
  <si>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</si>
  <si>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</si>
  <si>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</si>
  <si>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</si>
  <si>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</si>
  <si>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</si>
  <si>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</si>
  <si>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</si>
  <si>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</si>
  <si>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</si>
  <si>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</si>
  <si>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</si>
  <si>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</si>
  <si>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</si>
  <si>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</si>
  <si>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</si>
  <si>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</si>
  <si>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</si>
  <si>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</si>
  <si>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</si>
  <si>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</si>
  <si>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</si>
  <si>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</si>
  <si>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</si>
  <si>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</si>
  <si>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</si>
  <si>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</si>
  <si>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</si>
  <si>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</si>
  <si>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</si>
  <si>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</si>
  <si>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</si>
  <si>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</si>
  <si>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</si>
  <si>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</si>
  <si>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</si>
  <si>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</si>
  <si>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</si>
  <si>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</si>
  <si>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</si>
  <si>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</si>
  <si>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</si>
  <si>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</si>
  <si>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</si>
  <si>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</si>
  <si>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</si>
  <si>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</si>
  <si>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</si>
  <si>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</si>
  <si>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</si>
  <si>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</si>
  <si>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</si>
  <si>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</si>
  <si>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</si>
  <si>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</si>
  <si>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</si>
  <si>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</si>
  <si>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</si>
  <si>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</si>
  <si>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</si>
  <si>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</si>
  <si>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</si>
  <si>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</si>
  <si>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</si>
  <si>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</si>
  <si>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</si>
  <si>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</si>
  <si>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</si>
  <si>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</si>
  <si>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</si>
  <si>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</si>
  <si>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</si>
  <si>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</si>
  <si>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</si>
  <si>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</si>
  <si>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</si>
  <si>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</si>
  <si>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</si>
  <si>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</si>
  <si>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</si>
  <si>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</si>
  <si>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</si>
  <si>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</si>
  <si>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</si>
  <si>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</si>
  <si>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</si>
  <si>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</si>
  <si>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</si>
  <si>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</si>
  <si>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</si>
  <si>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</si>
  <si>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</si>
  <si>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</si>
  <si>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</si>
  <si>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</si>
  <si>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</si>
  <si>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</si>
  <si>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</si>
  <si>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</si>
  <si>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</si>
  <si>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</si>
  <si>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</si>
  <si>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</si>
  <si>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</si>
  <si>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</si>
  <si>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</si>
  <si>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</si>
  <si>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</si>
  <si>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</si>
  <si>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</si>
  <si>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</si>
  <si>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</si>
  <si>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</si>
  <si>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</si>
  <si>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</si>
  <si>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</si>
  <si>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</si>
  <si>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</si>
  <si>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</si>
  <si>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</si>
  <si>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</si>
  <si>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</si>
  <si>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</si>
  <si>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</si>
  <si>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</si>
  <si>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</si>
  <si>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</si>
  <si>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</si>
  <si>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</si>
  <si>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</si>
  <si>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</si>
  <si>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</si>
  <si>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</si>
  <si>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</si>
  <si>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</si>
  <si>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</si>
  <si>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</si>
  <si>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</si>
  <si>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</si>
  <si>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</si>
  <si>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</si>
  <si>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</si>
  <si>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</si>
  <si>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</si>
  <si>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</si>
  <si>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</si>
  <si>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</si>
  <si>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</si>
  <si>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</si>
  <si>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</si>
  <si>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</si>
  <si>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</si>
  <si>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</si>
  <si>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</si>
  <si>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</si>
  <si>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</si>
  <si>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</si>
  <si>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</si>
  <si>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</si>
  <si>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</si>
  <si>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</si>
  <si>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</si>
  <si>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</si>
  <si>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</si>
  <si>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</si>
  <si>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</si>
  <si>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</si>
  <si>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</si>
  <si>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</si>
  <si>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</si>
  <si>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</si>
  <si>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</si>
  <si>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</si>
  <si>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</si>
  <si>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</si>
  <si>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</si>
  <si>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</si>
  <si>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</si>
  <si>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</si>
  <si>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</si>
  <si>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</si>
  <si>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</si>
  <si>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</si>
  <si>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</si>
  <si>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</si>
  <si>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</si>
  <si>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</si>
  <si>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</si>
  <si>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</si>
  <si>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</si>
  <si>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</si>
  <si>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</si>
  <si>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</si>
  <si>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</si>
  <si>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</si>
  <si>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</si>
  <si>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</si>
  <si>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</si>
  <si>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</si>
  <si>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</si>
  <si>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</si>
  <si>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</si>
  <si>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</si>
  <si>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</si>
  <si>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</si>
  <si>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</si>
  <si>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</si>
  <si>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</si>
  <si>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</si>
  <si>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</si>
  <si>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</si>
  <si>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</si>
  <si>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</si>
  <si>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</si>
  <si>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</si>
  <si>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</si>
  <si>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</si>
  <si>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</si>
  <si>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</si>
  <si>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</si>
  <si>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</si>
  <si>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</si>
  <si>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</si>
  <si>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</si>
  <si>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</si>
  <si>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</si>
  <si>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</si>
  <si>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</si>
  <si>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</si>
  <si>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</si>
  <si>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</si>
  <si>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</si>
  <si>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</si>
  <si>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</si>
  <si>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</si>
  <si>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</si>
  <si>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</si>
  <si>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</si>
  <si>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</si>
  <si>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</si>
  <si>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</si>
  <si>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</si>
  <si>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</si>
  <si>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</si>
  <si>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</si>
  <si>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</si>
  <si>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</si>
  <si>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</si>
  <si>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</si>
  <si>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</si>
  <si>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</si>
  <si>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</si>
  <si>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</si>
  <si>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</si>
  <si>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</si>
  <si>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</si>
  <si>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</si>
  <si>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</si>
  <si>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</si>
  <si>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</si>
  <si>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</si>
  <si>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</si>
  <si>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</si>
  <si>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</si>
  <si>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</si>
  <si>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</si>
  <si>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</si>
  <si>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</si>
  <si>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</si>
  <si>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</si>
  <si>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</si>
  <si>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</si>
  <si>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</si>
  <si>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</si>
  <si>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</si>
  <si>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</si>
  <si>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</si>
  <si>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</si>
  <si>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</si>
  <si>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</si>
  <si>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</si>
  <si>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</si>
  <si>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</si>
  <si>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</si>
  <si>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</si>
  <si>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</si>
  <si>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</si>
  <si>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</si>
  <si>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</si>
  <si>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</si>
  <si>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</si>
  <si>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</si>
  <si>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</si>
  <si>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</si>
  <si>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</si>
  <si>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</si>
  <si>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</si>
  <si>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</si>
  <si>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</si>
  <si>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</si>
  <si>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</si>
  <si>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</si>
  <si>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</si>
  <si>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</si>
  <si>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</si>
  <si>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</si>
  <si>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</si>
  <si>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</si>
  <si>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</si>
  <si>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</si>
  <si>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</si>
  <si>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</si>
  <si>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</si>
  <si>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</si>
  <si>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</si>
  <si>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</si>
  <si>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</si>
  <si>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</si>
  <si>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</si>
  <si>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</si>
  <si>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</si>
  <si>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</si>
  <si>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</si>
  <si>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</si>
  <si>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</si>
  <si>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</si>
  <si>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</si>
  <si>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</si>
  <si>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</si>
  <si>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</si>
  <si>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</si>
  <si>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</si>
  <si>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</si>
  <si>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</si>
  <si>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</si>
  <si>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</si>
  <si>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</si>
  <si>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</si>
  <si>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</si>
  <si>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</si>
  <si>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</si>
  <si>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</si>
  <si>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</si>
  <si>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</si>
  <si>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</si>
  <si>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</si>
  <si>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</si>
  <si>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</si>
  <si>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</si>
  <si>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</si>
  <si>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</si>
  <si>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</si>
  <si>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</si>
  <si>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</si>
  <si>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</si>
  <si>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</si>
  <si>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</si>
  <si>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</si>
  <si>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</si>
  <si>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</si>
  <si>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</si>
  <si>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</si>
  <si>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</si>
  <si>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</si>
  <si>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</si>
  <si>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</si>
  <si>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</si>
  <si>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</si>
  <si>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</si>
  <si>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</si>
  <si>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</si>
  <si>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</si>
  <si>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</si>
  <si>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</si>
  <si>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</si>
  <si>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</si>
  <si>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</si>
  <si>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</si>
  <si>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</si>
  <si>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</si>
  <si>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</si>
  <si>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</si>
  <si>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</si>
  <si>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</si>
  <si>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</si>
  <si>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</si>
  <si>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</si>
  <si>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</si>
  <si>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</si>
  <si>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</si>
  <si>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</si>
  <si>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</si>
  <si>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</si>
  <si>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</si>
  <si>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</si>
  <si>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</si>
  <si>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</si>
  <si>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</si>
  <si>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</si>
  <si>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</si>
  <si>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</si>
  <si>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</si>
  <si>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</si>
  <si>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</si>
  <si>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</si>
  <si>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</si>
  <si>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</si>
  <si>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</si>
  <si>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</si>
  <si>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</si>
  <si>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</si>
  <si>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</si>
  <si>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</si>
  <si>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</si>
  <si>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</si>
  <si>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</si>
  <si>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</si>
  <si>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</si>
  <si>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</si>
  <si>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</si>
  <si>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</si>
  <si>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</si>
  <si>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</si>
  <si>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</si>
  <si>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</si>
  <si>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</si>
  <si>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</si>
  <si>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</si>
  <si>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</si>
  <si>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</si>
  <si>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</si>
  <si>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</si>
  <si>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</si>
  <si>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</si>
  <si>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</si>
  <si>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</si>
  <si>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</si>
  <si>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</si>
  <si>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</si>
  <si>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</si>
  <si>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</si>
  <si>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</si>
  <si>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</si>
  <si>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</si>
  <si>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</si>
  <si>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</si>
  <si>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</si>
  <si>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</si>
  <si>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</si>
  <si>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</si>
  <si>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</si>
  <si>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</si>
  <si>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</si>
  <si>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</si>
  <si>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</si>
  <si>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</si>
  <si>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</si>
  <si>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</si>
  <si>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</si>
  <si>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</si>
  <si>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</si>
  <si>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</si>
  <si>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</si>
  <si>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</si>
  <si>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</si>
  <si>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</si>
  <si>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</si>
  <si>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</si>
  <si>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</si>
  <si>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</si>
  <si>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</si>
  <si>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</si>
  <si>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</si>
  <si>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</si>
  <si>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</si>
  <si>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</si>
  <si>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</si>
  <si>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</si>
  <si>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</si>
  <si>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</si>
  <si>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</si>
  <si>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</si>
  <si>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</si>
  <si>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</si>
  <si>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</si>
  <si>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</si>
  <si>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</si>
  <si>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</si>
  <si>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</si>
  <si>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</si>
  <si>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</si>
  <si>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</si>
  <si>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</si>
  <si>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</si>
  <si>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</si>
  <si>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</si>
  <si>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</si>
  <si>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</si>
  <si>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</si>
  <si>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</si>
  <si>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</si>
  <si>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</si>
  <si>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</si>
  <si>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</si>
  <si>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</si>
  <si>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</si>
  <si>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</si>
  <si>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</si>
  <si>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</si>
  <si>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</si>
  <si>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</si>
  <si>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</si>
  <si>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</si>
  <si>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</si>
  <si>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</si>
  <si>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</si>
  <si>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</si>
  <si>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</si>
  <si>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</si>
  <si>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</si>
  <si>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</si>
  <si>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</si>
  <si>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</si>
  <si>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</si>
  <si>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</si>
  <si>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</si>
  <si>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</si>
  <si>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</si>
  <si>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</si>
  <si>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</si>
  <si>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</si>
  <si>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</si>
  <si>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</si>
  <si>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</si>
  <si>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</si>
  <si>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</si>
  <si>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</si>
  <si>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</si>
  <si>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</si>
  <si>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</si>
  <si>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</si>
  <si>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</si>
  <si>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</si>
  <si>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</si>
  <si>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</si>
  <si>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</si>
  <si>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</si>
  <si>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</si>
  <si>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</si>
  <si>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</si>
  <si>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</si>
  <si>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</si>
  <si>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</si>
  <si>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</si>
  <si>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</si>
  <si>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</si>
  <si>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</si>
  <si>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</si>
  <si>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</si>
  <si>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</si>
  <si>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</si>
  <si>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</si>
  <si>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</si>
  <si>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</si>
  <si>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</si>
  <si>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</si>
  <si>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</si>
  <si>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</si>
  <si>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</si>
  <si>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</si>
  <si>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</si>
  <si>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</si>
  <si>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</si>
  <si>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</si>
  <si>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</si>
  <si>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</si>
  <si>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</si>
  <si>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</si>
  <si>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</si>
  <si>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</si>
  <si>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</si>
  <si>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</si>
  <si>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</si>
  <si>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</si>
  <si>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</si>
  <si>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</si>
  <si>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</si>
  <si>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</si>
  <si>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</si>
  <si>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</si>
  <si>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</si>
  <si>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</si>
  <si>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</si>
  <si>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</si>
  <si>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</si>
  <si>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</si>
  <si>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</si>
  <si>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</si>
  <si>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</si>
  <si>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</si>
  <si>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</si>
  <si>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</si>
  <si>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</si>
  <si>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</si>
  <si>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</si>
  <si>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</si>
  <si>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</si>
  <si>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</si>
  <si>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</si>
  <si>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</si>
  <si>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</si>
  <si>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</si>
  <si>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</si>
  <si>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</si>
  <si>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</si>
  <si>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</si>
  <si>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</si>
  <si>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</si>
  <si>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</si>
  <si>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</si>
  <si>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</si>
  <si>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</si>
  <si>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</si>
  <si>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</si>
  <si>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</si>
  <si>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</si>
  <si>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</si>
  <si>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</si>
  <si>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</si>
  <si>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</si>
  <si>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</si>
  <si>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</si>
  <si>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</si>
  <si>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</si>
  <si>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</si>
  <si>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</si>
  <si>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</si>
  <si>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</si>
  <si>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</si>
  <si>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</si>
  <si>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</si>
  <si>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</si>
  <si>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</si>
  <si>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</si>
  <si>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</si>
  <si>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</si>
  <si>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</si>
  <si>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</si>
  <si>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</si>
  <si>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</si>
  <si>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</si>
  <si>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</si>
  <si>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</si>
  <si>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</si>
  <si>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</si>
  <si>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</si>
  <si>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</si>
  <si>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</si>
  <si>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</si>
  <si>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</si>
  <si>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</si>
  <si>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</si>
  <si>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</si>
  <si>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</si>
  <si>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</si>
  <si>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</si>
  <si>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</si>
  <si>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</si>
  <si>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</si>
  <si>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</si>
  <si>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</si>
  <si>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</si>
  <si>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</si>
  <si>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</si>
  <si>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</si>
  <si>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</si>
  <si>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</si>
  <si>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</si>
  <si>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</si>
  <si>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</si>
  <si>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</si>
  <si>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</si>
  <si>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</si>
  <si>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</si>
  <si>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</si>
  <si>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</si>
  <si>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</si>
  <si>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</si>
  <si>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</si>
  <si>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</si>
  <si>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</si>
  <si>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</si>
  <si>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</si>
  <si>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</si>
  <si>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</si>
  <si>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</si>
  <si>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</si>
  <si>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</si>
  <si>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</si>
  <si>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</si>
  <si>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</si>
  <si>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</si>
  <si>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</si>
  <si>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</si>
  <si>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</si>
  <si>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</si>
  <si>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</si>
  <si>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</si>
  <si>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</si>
  <si>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</si>
  <si>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</si>
  <si>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</si>
  <si>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</si>
  <si>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</si>
  <si>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</si>
  <si>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</si>
  <si>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</si>
  <si>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</si>
  <si>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</si>
  <si>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</si>
  <si>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</si>
  <si>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</si>
  <si>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</si>
  <si>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</si>
  <si>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</si>
  <si>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</si>
  <si>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</si>
  <si>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</si>
  <si>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</si>
  <si>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</si>
  <si>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</si>
  <si>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</si>
  <si>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</si>
  <si>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</si>
  <si>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</si>
  <si>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</si>
  <si>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</si>
  <si>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</si>
  <si>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</si>
  <si>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</si>
  <si>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</si>
  <si>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</si>
  <si>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</si>
  <si>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</si>
  <si>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</si>
  <si>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</si>
  <si>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</si>
  <si>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</si>
  <si>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</si>
  <si>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</si>
  <si>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</si>
  <si>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</si>
  <si>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</si>
  <si>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</si>
  <si>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</si>
  <si>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</si>
  <si>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</si>
  <si>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</si>
  <si>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</si>
  <si>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</si>
  <si>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</si>
  <si>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</si>
  <si>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</si>
  <si>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</si>
  <si>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</si>
  <si>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</si>
  <si>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</si>
  <si>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</si>
  <si>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</si>
  <si>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</si>
  <si>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</si>
  <si>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</si>
  <si>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</si>
  <si>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</si>
  <si>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</si>
  <si>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</si>
  <si>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</si>
  <si>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</si>
  <si>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</si>
  <si>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</si>
  <si>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</si>
  <si>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</si>
  <si>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</si>
  <si>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</si>
  <si>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</si>
  <si>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</si>
  <si>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</si>
  <si>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</si>
  <si>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</si>
  <si>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</si>
  <si>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</si>
  <si>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</si>
  <si>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</si>
  <si>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</si>
  <si>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</si>
  <si>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</si>
  <si>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</si>
  <si>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</si>
  <si>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</si>
  <si>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</si>
  <si>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</si>
  <si>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</si>
  <si>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</si>
  <si>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</si>
  <si>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</si>
  <si>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</si>
  <si>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</si>
  <si>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</si>
  <si>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</si>
  <si>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</si>
  <si>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</si>
  <si>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</si>
  <si>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</si>
  <si>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</si>
  <si>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</si>
  <si>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</si>
  <si>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</si>
  <si>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</si>
  <si>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</si>
  <si>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</si>
  <si>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</si>
  <si>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</si>
  <si>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</si>
  <si>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</si>
  <si>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</si>
  <si>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</si>
  <si>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</si>
  <si>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</si>
  <si>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</si>
  <si>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</si>
  <si>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</si>
  <si>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</si>
  <si>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</si>
  <si>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</si>
  <si>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</si>
  <si>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</si>
  <si>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</si>
  <si>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</si>
  <si>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</si>
  <si>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</si>
  <si>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</si>
  <si>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</si>
  <si>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</si>
  <si>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</si>
  <si>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</si>
  <si>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</si>
  <si>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</si>
  <si>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</si>
  <si>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</si>
  <si>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</si>
  <si>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</si>
  <si>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</si>
  <si>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</si>
  <si>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</si>
  <si>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</si>
  <si>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</si>
  <si>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</si>
  <si>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</si>
  <si>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</si>
  <si>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</si>
  <si>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</si>
  <si>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</si>
  <si>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</si>
  <si>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</si>
  <si>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</si>
  <si>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</si>
  <si>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</si>
  <si>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</si>
  <si>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</si>
  <si>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</si>
  <si>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</si>
  <si>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</si>
  <si>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</si>
  <si>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</si>
  <si>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</si>
  <si>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</si>
  <si>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</si>
  <si>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</si>
  <si>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</si>
  <si>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</si>
  <si>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</si>
  <si>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</si>
  <si>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</si>
  <si>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</si>
  <si>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</si>
  <si>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</si>
  <si>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</si>
  <si>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</si>
  <si>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</si>
  <si>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</si>
  <si>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</si>
  <si>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</si>
  <si>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</si>
  <si>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</si>
  <si>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</si>
  <si>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</si>
  <si>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</si>
  <si>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</si>
  <si>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</si>
  <si>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</si>
  <si>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</si>
  <si>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</si>
  <si>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</si>
  <si>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</si>
  <si>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</si>
  <si>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</si>
  <si>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</si>
  <si>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</si>
  <si>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</si>
  <si>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</si>
  <si>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</si>
  <si>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</si>
  <si>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</si>
  <si>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</si>
  <si>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</si>
  <si>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</si>
  <si>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</si>
  <si>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</si>
  <si>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</si>
  <si>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</si>
  <si>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</si>
  <si>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</si>
  <si>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</si>
  <si>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</si>
  <si>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</si>
  <si>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</si>
  <si>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</si>
  <si>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</si>
  <si>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</si>
  <si>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</si>
  <si>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</si>
  <si>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</si>
  <si>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</si>
  <si>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</si>
  <si>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</si>
  <si>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</si>
  <si>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</si>
  <si>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</si>
  <si>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</si>
  <si>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</si>
  <si>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</si>
  <si>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</si>
  <si>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</si>
  <si>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</si>
  <si>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</si>
  <si>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</si>
  <si>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</si>
  <si>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</si>
  <si>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</si>
  <si>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</si>
  <si>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</si>
  <si>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</si>
  <si>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</si>
  <si>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</si>
  <si>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</si>
  <si>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</si>
  <si>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</si>
  <si>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</si>
  <si>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</si>
  <si>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</si>
  <si>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</si>
  <si>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</si>
  <si>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</si>
  <si>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</si>
  <si>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</si>
  <si>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</si>
  <si>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</si>
  <si>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</si>
  <si>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</si>
  <si>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</si>
  <si>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</si>
  <si>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</si>
  <si>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</si>
  <si>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</si>
  <si>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</si>
  <si>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</si>
  <si>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</si>
  <si>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</si>
  <si>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</si>
  <si>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</si>
  <si>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</si>
  <si>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</si>
  <si>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</si>
  <si>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</si>
  <si>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</si>
  <si>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</si>
  <si>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</si>
  <si>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</si>
  <si>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</si>
  <si>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</si>
  <si>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</si>
  <si>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</si>
  <si>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</si>
  <si>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</si>
  <si>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</si>
  <si>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</si>
  <si>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</si>
  <si>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</si>
  <si>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</si>
  <si>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</si>
  <si>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</si>
  <si>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</si>
  <si>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</si>
  <si>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</si>
  <si>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</si>
  <si>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</si>
  <si>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</si>
  <si>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</si>
  <si>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</si>
  <si>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</si>
  <si>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</si>
  <si>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</si>
  <si>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</si>
  <si>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</si>
  <si>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</si>
  <si>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</si>
  <si>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</si>
  <si>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</si>
  <si>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</si>
  <si>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</si>
  <si>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</si>
  <si>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</si>
  <si>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</si>
  <si>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</si>
  <si>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</si>
  <si>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</si>
  <si>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</si>
  <si>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</si>
  <si>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</si>
  <si>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</si>
  <si>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</si>
  <si>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</si>
  <si>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</si>
  <si>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</si>
  <si>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</si>
  <si>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</si>
  <si>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</si>
  <si>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</si>
  <si>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</si>
  <si>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</si>
  <si>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</si>
  <si>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</si>
  <si>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</si>
  <si>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</si>
  <si>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</si>
  <si>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</si>
  <si>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</si>
  <si>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</si>
  <si>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</si>
  <si>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</si>
  <si>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</si>
  <si>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</si>
  <si>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</si>
  <si>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</si>
  <si>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</si>
  <si>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</si>
  <si>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</si>
  <si>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</si>
  <si>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</si>
  <si>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</si>
  <si>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</si>
  <si>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</si>
  <si>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</si>
  <si>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</si>
  <si>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</si>
  <si>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</si>
  <si>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</si>
  <si>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</si>
  <si>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</si>
  <si>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</si>
  <si>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</si>
  <si>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</si>
  <si>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</si>
  <si>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</si>
  <si>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</si>
  <si>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</si>
  <si>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</si>
  <si>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</si>
  <si>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</si>
  <si>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</si>
  <si>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</si>
  <si>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</si>
  <si>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</si>
  <si>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</si>
  <si>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</si>
  <si>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</si>
  <si>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</si>
  <si>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</si>
  <si>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</si>
  <si>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</si>
  <si>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</si>
  <si>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</si>
  <si>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</si>
  <si>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</si>
  <si>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</si>
  <si>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</si>
  <si>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</si>
  <si>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</si>
  <si>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</si>
  <si>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</si>
  <si>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</si>
  <si>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</si>
  <si>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</si>
  <si>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</si>
  <si>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</si>
  <si>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</si>
  <si>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</si>
  <si>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</si>
  <si>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</si>
  <si>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</si>
  <si>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</si>
  <si>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</si>
  <si>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</si>
  <si>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</si>
  <si>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</si>
  <si>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</si>
  <si>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</si>
  <si>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</si>
  <si>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</si>
  <si>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</si>
  <si>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</si>
  <si>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</si>
  <si>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</si>
  <si>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</si>
  <si>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</si>
  <si>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</si>
  <si>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</si>
  <si>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</si>
  <si>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</si>
  <si>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</si>
  <si>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</si>
  <si>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</si>
  <si>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</si>
  <si>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</si>
  <si>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</si>
  <si>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</si>
  <si>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</si>
  <si>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</si>
  <si>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</si>
  <si>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</si>
  <si>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</si>
  <si>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</si>
  <si>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</si>
  <si>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</si>
  <si>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</si>
  <si>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</si>
  <si>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</si>
  <si>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</si>
  <si>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</si>
  <si>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</si>
  <si>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</si>
  <si>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</si>
  <si>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</si>
  <si>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</si>
  <si>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</si>
  <si>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</si>
  <si>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</si>
  <si>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</si>
  <si>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</si>
  <si>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</si>
  <si>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</si>
  <si>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</si>
  <si>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</si>
  <si>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</si>
  <si>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</si>
  <si>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</si>
  <si>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</si>
  <si>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</si>
  <si>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</si>
  <si>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</si>
  <si>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</si>
  <si>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</si>
  <si>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</si>
  <si>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</si>
  <si>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</si>
  <si>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</si>
  <si>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</si>
  <si>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</si>
  <si>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</si>
  <si>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</si>
  <si>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</si>
  <si>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</si>
  <si>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</si>
  <si>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</si>
  <si>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</si>
  <si>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</si>
  <si>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</si>
  <si>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</si>
  <si>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</si>
  <si>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</si>
  <si>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</si>
  <si>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</si>
  <si>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</si>
  <si>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</si>
  <si>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</si>
  <si>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</si>
  <si>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</si>
  <si>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</si>
  <si>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</si>
  <si>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</si>
  <si>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</si>
  <si>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</si>
  <si>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</si>
  <si>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</si>
  <si>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</si>
  <si>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</si>
  <si>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</si>
  <si>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</si>
  <si>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</si>
  <si>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</si>
  <si>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</si>
  <si>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</si>
  <si>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</si>
  <si>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</si>
  <si>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</si>
  <si>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</si>
  <si>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</si>
  <si>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</si>
  <si>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</si>
  <si>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</si>
  <si>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</si>
  <si>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</si>
  <si>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</si>
  <si>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</si>
  <si>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</si>
  <si>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</si>
  <si>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</si>
  <si>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</si>
  <si>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</si>
  <si>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</si>
  <si>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</si>
  <si>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</si>
  <si>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</si>
  <si>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</si>
  <si>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</si>
  <si>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</si>
  <si>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</si>
  <si>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</si>
  <si>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</si>
  <si>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</si>
  <si>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</si>
  <si>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</si>
  <si>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</si>
  <si>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</si>
  <si>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</si>
  <si>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</si>
  <si>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</si>
  <si>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</si>
  <si>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</si>
  <si>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</si>
  <si>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</si>
  <si>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</si>
  <si>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</si>
  <si>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</si>
  <si>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</si>
  <si>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</si>
  <si>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</si>
  <si>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</si>
  <si>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</si>
  <si>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</si>
  <si>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</si>
  <si>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</si>
  <si>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</si>
  <si>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</si>
  <si>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</si>
  <si>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</si>
  <si>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</si>
  <si>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</si>
  <si>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</si>
  <si>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</si>
  <si>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</si>
  <si>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</si>
  <si>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</si>
  <si>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</si>
  <si>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</si>
  <si>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</si>
  <si>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</si>
  <si>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</si>
  <si>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</si>
  <si>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</si>
  <si>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</si>
  <si>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</si>
  <si>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</si>
  <si>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</si>
  <si>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</si>
  <si>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</si>
  <si>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</si>
  <si>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</si>
  <si>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</si>
  <si>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</si>
  <si>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</si>
  <si>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</si>
  <si>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</si>
  <si>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</si>
  <si>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</si>
  <si>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</si>
  <si>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</si>
  <si>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</si>
  <si>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</si>
  <si>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</si>
  <si>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</si>
  <si>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</si>
  <si>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</si>
  <si>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</si>
  <si>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</si>
  <si>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</si>
  <si>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</si>
  <si>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</si>
  <si>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</si>
  <si>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</si>
  <si>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</si>
  <si>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</si>
  <si>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</si>
  <si>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</si>
  <si>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</si>
  <si>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</si>
  <si>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</si>
  <si>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</si>
  <si>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</si>
  <si>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</si>
  <si>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</si>
  <si>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</si>
  <si>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</si>
  <si>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</si>
  <si>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</si>
  <si>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</si>
  <si>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</si>
  <si>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</si>
  <si>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</si>
  <si>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</si>
  <si>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</si>
  <si>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</si>
  <si>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</si>
  <si>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</si>
  <si>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</si>
  <si>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</si>
  <si>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</si>
  <si>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</si>
  <si>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</si>
  <si>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</si>
  <si>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</si>
  <si>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</si>
  <si>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</si>
  <si>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</si>
  <si>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</si>
  <si>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</si>
  <si>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</si>
  <si>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</si>
  <si>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</si>
  <si>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</si>
  <si>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</si>
  <si>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</si>
  <si>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</si>
  <si>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</si>
  <si>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</si>
  <si>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</si>
  <si>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</si>
  <si>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</si>
  <si>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</si>
  <si>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</si>
  <si>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</si>
  <si>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</si>
  <si>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</si>
  <si>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</si>
  <si>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</si>
  <si>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</si>
  <si>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</si>
  <si>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</si>
  <si>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</si>
  <si>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</si>
  <si>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</si>
  <si>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</si>
  <si>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</si>
  <si>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</si>
  <si>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</si>
  <si>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</si>
  <si>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</si>
  <si>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</si>
  <si>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</si>
  <si>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</si>
  <si>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</si>
  <si>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</si>
  <si>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</si>
  <si>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</si>
  <si>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</si>
  <si>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</si>
  <si>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</si>
  <si>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</si>
  <si>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</si>
  <si>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</si>
  <si>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</si>
  <si>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</si>
  <si>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</si>
  <si>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</si>
  <si>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</si>
  <si>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</si>
  <si>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</si>
  <si>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</si>
  <si>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</si>
  <si>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</si>
  <si>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</si>
  <si>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</si>
  <si>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</si>
  <si>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</si>
  <si>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</si>
  <si>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</si>
  <si>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</si>
  <si>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</si>
  <si>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</si>
  <si>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</si>
  <si>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</si>
  <si>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</si>
  <si>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</si>
  <si>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</si>
  <si>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</si>
  <si>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</si>
  <si>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</si>
  <si>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</si>
  <si>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</si>
  <si>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</si>
  <si>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</si>
  <si>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</si>
  <si>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</si>
  <si>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</si>
  <si>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</si>
  <si>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</si>
  <si>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</si>
  <si>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</si>
  <si>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</si>
  <si>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</si>
  <si>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</si>
  <si>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</si>
  <si>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</si>
  <si>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</si>
  <si>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</si>
  <si>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</si>
  <si>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</si>
  <si>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</si>
  <si>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</si>
  <si>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</si>
  <si>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</si>
  <si>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</si>
  <si>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</si>
  <si>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</si>
  <si>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</si>
  <si>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</si>
  <si>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</si>
  <si>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</si>
  <si>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</si>
  <si>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</si>
  <si>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</si>
  <si>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</si>
  <si>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</si>
  <si>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</si>
  <si>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</si>
  <si>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</si>
  <si>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</si>
  <si>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</si>
  <si>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</si>
  <si>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</si>
  <si>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</si>
  <si>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</si>
  <si>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</si>
  <si>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</si>
  <si>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</si>
  <si>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</si>
  <si>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</si>
  <si>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</si>
  <si>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</si>
  <si>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</si>
  <si>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</si>
  <si>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</si>
  <si>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</si>
  <si>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</si>
  <si>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</si>
  <si>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</si>
  <si>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</si>
  <si>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</si>
  <si>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</si>
  <si>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</si>
  <si>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</si>
  <si>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</si>
  <si>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</si>
  <si>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</si>
  <si>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</si>
  <si>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</si>
  <si>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</si>
  <si>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</si>
  <si>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</si>
  <si>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</si>
  <si>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</si>
  <si>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</si>
  <si>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</si>
  <si>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</si>
  <si>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</si>
  <si>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</si>
  <si>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</si>
  <si>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</si>
  <si>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</si>
  <si>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</si>
  <si>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</si>
  <si>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</si>
  <si>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</si>
  <si>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</si>
  <si>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</si>
  <si>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</si>
  <si>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</si>
  <si>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</si>
  <si>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</si>
  <si>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</si>
  <si>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</si>
  <si>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</si>
  <si>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</si>
  <si>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</si>
  <si>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</si>
  <si>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</si>
  <si>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</si>
  <si>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</si>
  <si>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</si>
  <si>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</si>
  <si>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</si>
  <si>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</si>
  <si>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</si>
  <si>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</si>
  <si>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</si>
  <si>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</si>
  <si>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</si>
  <si>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</si>
  <si>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</si>
  <si>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</si>
  <si>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</si>
  <si>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</si>
  <si>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</si>
  <si>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</si>
  <si>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</si>
  <si>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</si>
  <si>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</si>
  <si>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</si>
  <si>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</si>
  <si>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</si>
  <si>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</si>
  <si>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</si>
  <si>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</si>
  <si>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</si>
  <si>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</si>
  <si>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</si>
  <si>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</si>
  <si>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</si>
  <si>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</si>
  <si>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</si>
  <si>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</si>
  <si>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</si>
  <si>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</si>
  <si>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</si>
  <si>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</si>
  <si>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</si>
  <si>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</si>
  <si>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</si>
  <si>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</si>
  <si>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</si>
  <si>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</si>
  <si>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</si>
  <si>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</si>
  <si>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</si>
  <si>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</si>
  <si>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</si>
  <si>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</si>
  <si>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</si>
  <si>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</si>
  <si>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</si>
  <si>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</si>
  <si>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</si>
  <si>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</si>
  <si>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</si>
  <si>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</si>
  <si>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</si>
  <si>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</si>
  <si>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</si>
  <si>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</si>
  <si>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</si>
  <si>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</si>
  <si>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</si>
  <si>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</si>
  <si>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</si>
  <si>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</si>
  <si>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</si>
  <si>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</si>
  <si>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</si>
  <si>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</si>
  <si>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</si>
  <si>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</si>
  <si>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</si>
  <si>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</si>
  <si>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</si>
  <si>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</si>
  <si>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</si>
  <si>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</si>
  <si>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</si>
  <si>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</si>
  <si>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</si>
  <si>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</si>
  <si>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</si>
  <si>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</si>
  <si>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</si>
  <si>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</si>
  <si>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</si>
  <si>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</si>
  <si>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</si>
  <si>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</si>
  <si>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</si>
  <si>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</si>
  <si>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</si>
  <si>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</si>
  <si>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</si>
  <si>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</si>
  <si>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</si>
  <si>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</si>
  <si>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</si>
  <si>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</si>
  <si>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</si>
  <si>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</si>
  <si>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</si>
  <si>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</si>
  <si>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</si>
  <si>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</si>
  <si>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</si>
  <si>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</si>
  <si>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</si>
  <si>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</si>
  <si>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</si>
  <si>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</si>
  <si>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</si>
  <si>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</si>
  <si>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</si>
  <si>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</si>
  <si>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</si>
  <si>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</si>
  <si>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</si>
  <si>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</si>
  <si>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</si>
  <si>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</si>
  <si>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</si>
  <si>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</si>
  <si>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</si>
  <si>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</si>
  <si>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</si>
  <si>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</si>
  <si>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</si>
  <si>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</si>
  <si>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</si>
  <si>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</si>
  <si>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</si>
  <si>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</si>
  <si>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</si>
  <si>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</si>
  <si>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</si>
  <si>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</si>
  <si>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</si>
  <si>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</si>
  <si>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</si>
  <si>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</si>
  <si>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</si>
  <si>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</si>
  <si>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</si>
  <si>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</si>
  <si>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</si>
  <si>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</si>
  <si>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</si>
  <si>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</si>
  <si>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</si>
  <si>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</si>
  <si>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</si>
  <si>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</si>
  <si>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</si>
  <si>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</si>
  <si>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</si>
  <si>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</si>
  <si>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</si>
  <si>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</si>
  <si>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</si>
  <si>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</si>
  <si>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</si>
  <si>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</si>
  <si>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</si>
  <si>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</si>
  <si>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</si>
  <si>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</si>
  <si>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</si>
  <si>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</si>
  <si>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</si>
  <si>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</si>
  <si>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</si>
  <si>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</si>
  <si>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</si>
  <si>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</si>
  <si>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</si>
  <si>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</si>
  <si>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</si>
  <si>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</si>
  <si>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</si>
  <si>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</si>
  <si>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</si>
  <si>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</si>
  <si>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</si>
  <si>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</si>
  <si>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</si>
  <si>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</si>
  <si>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</si>
  <si>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</si>
  <si>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</si>
  <si>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</si>
  <si>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</si>
  <si>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</si>
  <si>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</si>
  <si>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</si>
  <si>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</si>
  <si>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</si>
  <si>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</si>
  <si>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</si>
  <si>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</si>
  <si>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</si>
  <si>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</si>
  <si>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</si>
  <si>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</si>
  <si>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</si>
  <si>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</si>
  <si>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</si>
  <si>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</si>
  <si>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</si>
  <si>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</si>
  <si>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</si>
  <si>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</si>
  <si>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</si>
  <si>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</si>
  <si>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</si>
  <si>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</si>
  <si>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</si>
  <si>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</si>
  <si>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</si>
  <si>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</si>
  <si>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</si>
  <si>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</si>
  <si>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</si>
  <si>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</si>
  <si>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</si>
  <si>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</si>
  <si>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</si>
  <si>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</si>
  <si>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</si>
  <si>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</si>
  <si>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</si>
  <si>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</si>
  <si>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</si>
  <si>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</si>
  <si>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</si>
  <si>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</si>
  <si>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</si>
  <si>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</si>
  <si>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</si>
  <si>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</si>
  <si>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</si>
  <si>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</si>
  <si>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</si>
  <si>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</si>
  <si>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</si>
  <si>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</si>
  <si>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</si>
  <si>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</si>
  <si>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</si>
  <si>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</si>
  <si>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</si>
  <si>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</si>
  <si>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</si>
  <si>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</si>
  <si>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</si>
  <si>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</si>
  <si>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</si>
  <si>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</si>
  <si>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</si>
  <si>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</si>
  <si>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</si>
  <si>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</si>
  <si>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</si>
  <si>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</si>
  <si>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</si>
  <si>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</si>
  <si>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</si>
  <si>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</si>
  <si>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</si>
  <si>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</si>
  <si>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</si>
  <si>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</si>
  <si>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</si>
  <si>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</si>
  <si>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</si>
  <si>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</si>
  <si>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</si>
  <si>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</si>
  <si>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</si>
  <si>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</si>
  <si>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</si>
  <si>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</si>
  <si>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</si>
  <si>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</si>
  <si>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</si>
  <si>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</si>
  <si>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</si>
  <si>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</si>
  <si>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</si>
  <si>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</si>
  <si>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</si>
  <si>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</si>
  <si>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</si>
  <si>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</si>
  <si>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</si>
  <si>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</si>
  <si>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</si>
  <si>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</si>
  <si>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</si>
  <si>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</si>
  <si>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</si>
  <si>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</si>
  <si>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</si>
  <si>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</si>
  <si>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</si>
  <si>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</si>
  <si>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</si>
  <si>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</si>
  <si>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</si>
  <si>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</si>
  <si>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</si>
  <si>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</si>
  <si>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</si>
  <si>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</si>
  <si>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</si>
  <si>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</si>
  <si>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</si>
  <si>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</si>
  <si>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</si>
  <si>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</si>
  <si>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</si>
  <si>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</si>
  <si>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</si>
  <si>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</si>
  <si>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</si>
  <si>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</si>
  <si>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</si>
  <si>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</si>
  <si>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</si>
  <si>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</si>
  <si>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</si>
  <si>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</si>
  <si>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</si>
  <si>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</si>
  <si>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</si>
  <si>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</si>
  <si>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</si>
  <si>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</si>
  <si>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</si>
  <si>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</si>
  <si>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</si>
  <si>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</si>
  <si>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</si>
  <si>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</si>
  <si>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</si>
  <si>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</si>
  <si>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</si>
  <si>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</si>
  <si>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</si>
  <si>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</si>
  <si>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</si>
  <si>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</si>
  <si>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</si>
  <si>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</si>
  <si>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</si>
  <si>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</si>
  <si>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</si>
  <si>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</si>
  <si>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</si>
  <si>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</si>
  <si>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</si>
  <si>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</si>
  <si>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</si>
  <si>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</si>
  <si>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</si>
  <si>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</si>
  <si>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</si>
  <si>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</si>
  <si>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</si>
  <si>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</si>
  <si>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</si>
  <si>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</si>
  <si>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</si>
  <si>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</si>
  <si>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</si>
  <si>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</si>
  <si>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</si>
  <si>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</si>
  <si>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</si>
  <si>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</si>
  <si>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</si>
  <si>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</si>
  <si>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</si>
  <si>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</si>
  <si>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</si>
  <si>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</si>
  <si>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</si>
  <si>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</si>
  <si>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</si>
  <si>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</si>
  <si>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</si>
  <si>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</si>
  <si>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</si>
  <si>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</si>
  <si>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</si>
  <si>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</si>
  <si>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</si>
  <si>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</si>
  <si>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</si>
  <si>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</si>
  <si>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</si>
  <si>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</si>
  <si>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</si>
  <si>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</si>
  <si>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</si>
  <si>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</si>
  <si>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</si>
  <si>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</si>
  <si>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</si>
  <si>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</si>
  <si>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</si>
  <si>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</si>
  <si>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</si>
  <si>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</si>
  <si>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</si>
  <si>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</si>
  <si>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</si>
  <si>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</si>
  <si>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</si>
  <si>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</si>
  <si>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</si>
  <si>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</si>
  <si>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</si>
  <si>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</si>
  <si>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</si>
  <si>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</si>
  <si>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</si>
  <si>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</si>
  <si>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</si>
  <si>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</si>
  <si>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</si>
  <si>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</si>
  <si>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</si>
  <si>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</si>
  <si>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</si>
  <si>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</si>
  <si>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</si>
  <si>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</si>
  <si>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</si>
  <si>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</si>
  <si>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</si>
  <si>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</si>
  <si>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</si>
  <si>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</si>
  <si>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</si>
  <si>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</si>
  <si>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</si>
  <si>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</si>
  <si>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</si>
  <si>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</si>
  <si>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</si>
  <si>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</si>
  <si>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</si>
  <si>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</si>
  <si>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</si>
  <si>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</si>
  <si>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</si>
  <si>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</si>
  <si>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</si>
  <si>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</si>
  <si>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</si>
  <si>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</si>
  <si>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</si>
  <si>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</si>
  <si>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</si>
  <si>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</si>
  <si>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</si>
  <si>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</si>
  <si>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</si>
  <si>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</si>
  <si>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</si>
  <si>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</si>
  <si>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</si>
  <si>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</si>
  <si>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</si>
  <si>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</si>
  <si>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</si>
  <si>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</si>
  <si>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</si>
  <si>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</si>
  <si>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</si>
  <si>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</si>
  <si>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</si>
  <si>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</si>
  <si>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</si>
  <si>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</si>
  <si>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</si>
  <si>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</si>
  <si>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</si>
  <si>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</si>
  <si>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</si>
  <si>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</si>
  <si>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</si>
  <si>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</si>
  <si>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</si>
  <si>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</si>
  <si>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</si>
  <si>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</si>
  <si>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</si>
  <si>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</si>
  <si>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</si>
  <si>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</si>
  <si>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</si>
  <si>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</si>
  <si>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</si>
  <si>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</si>
  <si>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</si>
  <si>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</si>
  <si>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</si>
  <si>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</si>
  <si>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</si>
  <si>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</si>
  <si>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</si>
  <si>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</si>
  <si>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</si>
  <si>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</si>
  <si>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</si>
  <si>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</si>
  <si>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</si>
  <si>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</si>
  <si>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</si>
  <si>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</si>
  <si>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</si>
  <si>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</si>
  <si>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</si>
  <si>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</si>
  <si>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</si>
  <si>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</si>
  <si>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</si>
  <si>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</si>
  <si>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</si>
  <si>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</si>
  <si>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</si>
  <si>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</si>
  <si>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</si>
  <si>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</si>
  <si>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</si>
  <si>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</si>
  <si>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</si>
  <si>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</si>
  <si>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</si>
  <si>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</si>
  <si>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</si>
  <si>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</si>
  <si>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</si>
  <si>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</si>
  <si>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</si>
  <si>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</si>
  <si>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</si>
  <si>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</si>
  <si>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</si>
  <si>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</si>
  <si>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</si>
  <si>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</si>
  <si>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</si>
  <si>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</si>
  <si>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</si>
  <si>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</si>
  <si>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</si>
  <si>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</si>
  <si>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</si>
  <si>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</si>
  <si>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</si>
  <si>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</si>
  <si>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</si>
  <si>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</si>
  <si>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</si>
  <si>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</si>
  <si>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</si>
  <si>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</si>
  <si>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</si>
  <si>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</si>
  <si>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</si>
  <si>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</si>
  <si>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</si>
  <si>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</si>
  <si>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</si>
  <si>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</si>
  <si>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</si>
  <si>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</si>
  <si>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</si>
  <si>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</si>
  <si>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</si>
  <si>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</si>
  <si>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</si>
  <si>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</si>
  <si>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</si>
  <si>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</si>
  <si>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</si>
  <si>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</si>
  <si>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</si>
  <si>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</si>
  <si>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</si>
  <si>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</si>
  <si>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</si>
  <si>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</si>
  <si>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</si>
  <si>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</si>
  <si>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</si>
  <si>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</si>
  <si>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</si>
  <si>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</si>
  <si>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</si>
  <si>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</si>
  <si>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</si>
  <si>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</si>
  <si>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</si>
  <si>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</si>
  <si>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</si>
  <si>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</si>
  <si>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</si>
  <si>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</si>
  <si>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</si>
  <si>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</si>
  <si>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</si>
  <si>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</si>
  <si>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</si>
  <si>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</si>
  <si>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</si>
  <si>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</si>
  <si>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</si>
  <si>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</si>
  <si>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</si>
  <si>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</si>
  <si>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</si>
  <si>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</si>
  <si>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</si>
  <si>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</si>
  <si>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</si>
  <si>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</si>
  <si>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</si>
  <si>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</si>
  <si>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</si>
  <si>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</si>
  <si>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</si>
  <si>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</si>
  <si>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</si>
  <si>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</si>
  <si>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</si>
  <si>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</si>
  <si>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</si>
  <si>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</si>
  <si>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</si>
  <si>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</si>
  <si>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</si>
  <si>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</si>
  <si>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</si>
  <si>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</si>
  <si>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</si>
  <si>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</si>
  <si>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</si>
  <si>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</si>
  <si>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</si>
  <si>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</si>
  <si>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</si>
  <si>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</si>
  <si>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</si>
  <si>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</si>
  <si>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</si>
  <si>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</si>
  <si>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</si>
  <si>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</si>
  <si>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</si>
  <si>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</si>
  <si>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</si>
  <si>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</si>
  <si>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</si>
  <si>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</si>
  <si>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</si>
  <si>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</si>
  <si>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</si>
  <si>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</si>
  <si>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</si>
  <si>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</si>
  <si>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</si>
  <si>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</si>
  <si>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</si>
  <si>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</si>
  <si>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</si>
  <si>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</si>
  <si>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</si>
  <si>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</si>
  <si>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</si>
  <si>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</si>
  <si>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</si>
  <si>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</si>
  <si>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</si>
  <si>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</si>
  <si>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</si>
  <si>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</si>
  <si>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</si>
  <si>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</si>
  <si>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</si>
  <si>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</si>
  <si>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</si>
  <si>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</si>
  <si>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</si>
  <si>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</si>
  <si>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</si>
  <si>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</si>
  <si>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</si>
  <si>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</si>
  <si>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</si>
  <si>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</si>
  <si>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</si>
  <si>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</si>
  <si>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</si>
  <si>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</si>
  <si>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</si>
  <si>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</si>
  <si>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</si>
  <si>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</si>
  <si>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</si>
  <si>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</si>
  <si>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</si>
  <si>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</si>
  <si>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</si>
  <si>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</si>
  <si>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</si>
  <si>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</si>
  <si>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</si>
  <si>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</si>
  <si>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</si>
  <si>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</si>
  <si>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</si>
  <si>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</si>
  <si>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</si>
  <si>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</si>
  <si>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</si>
  <si>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</si>
  <si>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</si>
  <si>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</si>
  <si>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</si>
  <si>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</si>
  <si>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</si>
  <si>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</si>
  <si>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</si>
  <si>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</si>
  <si>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</si>
  <si>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</si>
  <si>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</si>
  <si>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</si>
  <si>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</si>
  <si>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</si>
  <si>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</si>
  <si>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</si>
  <si>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</si>
  <si>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</si>
  <si>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</si>
  <si>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</si>
  <si>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</si>
  <si>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</si>
  <si>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</si>
  <si>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</si>
  <si>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</si>
  <si>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</si>
  <si>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</si>
  <si>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</si>
  <si>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</si>
  <si>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</si>
  <si>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</si>
  <si>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</si>
  <si>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</si>
  <si>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</si>
  <si>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</si>
  <si>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</si>
  <si>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</si>
  <si>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</si>
  <si>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</si>
  <si>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</si>
  <si>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</si>
  <si>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</si>
  <si>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</si>
  <si>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</si>
  <si>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</si>
  <si>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</si>
  <si>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</si>
  <si>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</si>
  <si>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</si>
  <si>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</si>
  <si>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</si>
  <si>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</si>
  <si>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</si>
  <si>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</si>
  <si>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</si>
  <si>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</si>
  <si>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</si>
  <si>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</si>
  <si>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</si>
  <si>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</si>
  <si>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</si>
  <si>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</si>
  <si>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</si>
  <si>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</si>
  <si>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</si>
  <si>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</si>
  <si>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</si>
  <si>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</si>
  <si>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</si>
  <si>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</si>
  <si>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</si>
  <si>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</si>
  <si>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</si>
  <si>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</si>
  <si>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</si>
  <si>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</si>
  <si>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</si>
  <si>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</si>
  <si>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</si>
  <si>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</si>
  <si>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</si>
  <si>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</si>
  <si>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</si>
  <si>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</si>
  <si>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</si>
  <si>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</si>
  <si>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</si>
  <si>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</si>
  <si>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</si>
  <si>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</si>
  <si>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</si>
  <si>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</si>
  <si>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</si>
  <si>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</si>
  <si>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</si>
  <si>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</si>
  <si>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</si>
  <si>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</si>
  <si>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</si>
  <si>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</si>
  <si>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</si>
  <si>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</si>
  <si>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</si>
  <si>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</si>
  <si>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</si>
  <si>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</si>
  <si>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</si>
  <si>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</si>
  <si>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</si>
  <si>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</si>
  <si>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</si>
  <si>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</si>
  <si>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</si>
  <si>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</si>
  <si>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</si>
  <si>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</si>
  <si>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</si>
  <si>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</si>
  <si>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</si>
  <si>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</si>
  <si>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</si>
  <si>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</si>
  <si>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</si>
  <si>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</si>
  <si>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</si>
  <si>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</si>
  <si>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</si>
  <si>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</si>
  <si>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</si>
  <si>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</si>
  <si>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</si>
  <si>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</si>
  <si>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</si>
  <si>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</si>
  <si>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</si>
  <si>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</si>
  <si>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</si>
  <si>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</si>
  <si>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</si>
  <si>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</si>
  <si>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</si>
  <si>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</si>
  <si>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</si>
  <si>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</si>
  <si>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</si>
  <si>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</si>
  <si>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</si>
  <si>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</si>
  <si>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</si>
  <si>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</si>
  <si>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</si>
  <si>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</si>
  <si>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</si>
  <si>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</si>
  <si>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</si>
  <si>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</si>
  <si>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</si>
  <si>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</si>
  <si>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</si>
  <si>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</si>
  <si>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</si>
  <si>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</si>
  <si>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</si>
  <si>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</si>
  <si>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</si>
  <si>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</si>
  <si>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</si>
  <si>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</si>
  <si>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</si>
  <si>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</si>
  <si>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</si>
  <si>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</si>
  <si>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</si>
  <si>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</si>
  <si>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</si>
  <si>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</si>
  <si>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</si>
  <si>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</si>
  <si>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</si>
  <si>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</si>
  <si>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</si>
  <si>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</si>
  <si>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</si>
  <si>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</si>
  <si>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</si>
  <si>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</si>
  <si>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</si>
  <si>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</si>
  <si>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</si>
  <si>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</si>
  <si>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</si>
  <si>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</si>
  <si>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</si>
  <si>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</si>
  <si>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</si>
  <si>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</si>
  <si>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</si>
  <si>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</si>
  <si>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</si>
  <si>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</si>
  <si>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</si>
  <si>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</si>
  <si>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</si>
  <si>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</si>
  <si>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</si>
  <si>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</si>
  <si>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</si>
  <si>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</si>
  <si>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</si>
  <si>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</si>
  <si>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</si>
  <si>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</si>
  <si>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</si>
  <si>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</si>
  <si>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</si>
  <si>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</si>
  <si>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</si>
  <si>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</si>
  <si>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</si>
  <si>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</si>
  <si>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</si>
  <si>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</si>
  <si>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</si>
  <si>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</si>
  <si>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</si>
  <si>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</si>
  <si>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</si>
  <si>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</si>
  <si>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</si>
  <si>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</si>
  <si>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</si>
  <si>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</si>
  <si>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</si>
  <si>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</si>
  <si>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</si>
  <si>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</si>
  <si>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</si>
  <si>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</si>
  <si>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</si>
  <si>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</si>
  <si>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</si>
  <si>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</si>
  <si>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</si>
  <si>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</si>
  <si>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</si>
  <si>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</si>
  <si>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</si>
  <si>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</si>
  <si>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</si>
  <si>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</si>
  <si>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</si>
  <si>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</si>
  <si>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</si>
  <si>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</si>
  <si>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</si>
  <si>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</si>
  <si>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</si>
  <si>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</si>
  <si>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</si>
  <si>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</si>
  <si>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</si>
  <si>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</si>
  <si>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</si>
  <si>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</si>
  <si>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</si>
  <si>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</si>
  <si>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</si>
  <si>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</si>
  <si>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</si>
  <si>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</si>
  <si>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</si>
  <si>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</si>
  <si>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</si>
  <si>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</si>
  <si>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</si>
  <si>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</si>
  <si>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</si>
  <si>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</si>
  <si>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</si>
  <si>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</si>
  <si>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</si>
  <si>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</si>
  <si>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</si>
  <si>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</si>
  <si>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</si>
  <si>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</si>
  <si>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</si>
  <si>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</si>
  <si>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</si>
  <si>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</si>
  <si>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</si>
  <si>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</si>
  <si>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</si>
  <si>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</si>
  <si>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</si>
  <si>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</si>
  <si>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</si>
  <si>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</si>
  <si>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</si>
  <si>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</si>
  <si>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</si>
  <si>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</si>
  <si>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</si>
  <si>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</si>
  <si>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</si>
  <si>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</si>
  <si>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</si>
  <si>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</si>
  <si>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</si>
  <si>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</si>
  <si>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</si>
  <si>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</si>
  <si>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</si>
  <si>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</si>
  <si>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</si>
  <si>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</si>
  <si>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</si>
  <si>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</si>
  <si>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</si>
  <si>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</si>
  <si>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</si>
  <si>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</si>
  <si>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</si>
  <si>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</si>
  <si>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</si>
  <si>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</si>
  <si>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</si>
  <si>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</si>
  <si>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</si>
  <si>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</si>
  <si>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</si>
  <si>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</si>
  <si>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</si>
  <si>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</si>
  <si>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</si>
  <si>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</si>
  <si>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</si>
  <si>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</si>
  <si>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</si>
  <si>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</si>
  <si>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</si>
  <si>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</si>
  <si>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</si>
  <si>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</si>
  <si>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</si>
  <si>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</si>
  <si>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</si>
  <si>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</si>
  <si>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</si>
  <si>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</si>
  <si>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</si>
  <si>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</si>
  <si>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</si>
  <si>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</si>
  <si>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</si>
  <si>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</si>
  <si>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</si>
  <si>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</si>
  <si>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</si>
  <si>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</si>
  <si>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</si>
  <si>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</si>
  <si>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</si>
  <si>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</si>
  <si>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</si>
  <si>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</si>
  <si>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</si>
  <si>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</si>
  <si>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</si>
  <si>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</si>
  <si>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</si>
  <si>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</si>
  <si>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</si>
  <si>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</si>
  <si>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</si>
  <si>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</si>
  <si>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</si>
  <si>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</si>
  <si>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</si>
  <si>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</si>
  <si>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</si>
  <si>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</si>
  <si>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</si>
  <si>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</si>
  <si>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</si>
  <si>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</si>
  <si>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</si>
  <si>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</si>
  <si>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</si>
  <si>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</si>
  <si>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</si>
  <si>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</si>
  <si>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</si>
  <si>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</si>
  <si>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</si>
  <si>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</si>
  <si>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</si>
  <si>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</si>
  <si>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</si>
  <si>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</si>
  <si>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</si>
  <si>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</si>
  <si>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</si>
  <si>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</si>
  <si>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</si>
  <si>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</si>
  <si>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</si>
  <si>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</si>
  <si>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</si>
  <si>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</si>
  <si>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</si>
  <si>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</si>
  <si>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</si>
  <si>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</si>
  <si>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</si>
  <si>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</si>
  <si>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</si>
  <si>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</si>
  <si>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</si>
  <si>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</si>
  <si>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</si>
  <si>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</si>
  <si>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</si>
  <si>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</si>
  <si>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</si>
  <si>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</si>
  <si>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</si>
  <si>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</si>
  <si>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</si>
  <si>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</si>
  <si>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</si>
  <si>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</si>
  <si>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</si>
  <si>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</si>
  <si>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</si>
  <si>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</si>
  <si>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</si>
  <si>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</si>
  <si>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</si>
  <si>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</si>
  <si>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</si>
  <si>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</si>
  <si>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</si>
  <si>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</si>
  <si>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</si>
  <si>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</si>
  <si>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</si>
  <si>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</si>
  <si>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</si>
  <si>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</si>
  <si>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</si>
  <si>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</si>
  <si>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</si>
  <si>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</si>
  <si>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</si>
  <si>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</si>
  <si>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</si>
  <si>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</si>
  <si>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</si>
  <si>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</si>
  <si>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</si>
  <si>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</si>
  <si>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</si>
  <si>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</si>
  <si>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</si>
  <si>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</si>
  <si>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</si>
  <si>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</si>
  <si>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</si>
  <si>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</si>
  <si>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</si>
  <si>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</si>
  <si>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</si>
  <si>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</si>
  <si>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</si>
  <si>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</si>
  <si>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</si>
  <si>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</si>
  <si>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</si>
  <si>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</si>
  <si>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</si>
  <si>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</si>
  <si>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</si>
  <si>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</si>
  <si>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</si>
  <si>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</si>
  <si>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</si>
  <si>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</si>
  <si>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</si>
  <si>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</si>
  <si>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</si>
  <si>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</si>
  <si>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</si>
  <si>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</si>
  <si>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</si>
  <si>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</si>
  <si>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</si>
  <si>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</si>
  <si>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</si>
  <si>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</si>
  <si>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</si>
  <si>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</si>
  <si>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</si>
  <si>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</si>
  <si>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</si>
  <si>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</si>
  <si>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</si>
  <si>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</si>
  <si>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</si>
  <si>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</si>
  <si>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</si>
  <si>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</si>
  <si>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</si>
  <si>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</si>
  <si>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</si>
  <si>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</si>
  <si>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</si>
  <si>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</si>
  <si>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</si>
  <si>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</si>
  <si>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</si>
  <si>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</si>
  <si>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</si>
  <si>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</si>
  <si>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</si>
  <si>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</si>
  <si>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</si>
  <si>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</si>
  <si>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</si>
  <si>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</si>
  <si>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</si>
  <si>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</si>
  <si>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</si>
  <si>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</si>
  <si>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</si>
  <si>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</si>
  <si>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</si>
  <si>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</si>
  <si>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</si>
  <si>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</si>
  <si>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</si>
  <si>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</si>
  <si>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</si>
  <si>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</si>
  <si>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</si>
  <si>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</si>
  <si>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</si>
  <si>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</si>
  <si>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</si>
  <si>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</si>
  <si>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</si>
  <si>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</si>
  <si>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</si>
  <si>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</si>
  <si>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</si>
  <si>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</si>
  <si>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</si>
  <si>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</si>
  <si>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</si>
  <si>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</si>
  <si>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</si>
  <si>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</si>
  <si>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</si>
  <si>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</si>
  <si>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</si>
  <si>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</si>
  <si>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</si>
  <si>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</si>
  <si>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</si>
  <si>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</si>
  <si>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</si>
  <si>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</si>
  <si>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</si>
  <si>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</si>
  <si>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</si>
  <si>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</si>
  <si>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</si>
  <si>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</si>
  <si>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</si>
  <si>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</si>
  <si>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</si>
  <si>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</si>
  <si>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</si>
  <si>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</si>
  <si>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</si>
  <si>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</si>
  <si>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</si>
  <si>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</si>
  <si>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</si>
  <si>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</si>
  <si>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</si>
  <si>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</si>
  <si>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</si>
  <si>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</si>
  <si>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</si>
  <si>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</si>
  <si>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</si>
  <si>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</si>
  <si>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</si>
  <si>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</si>
  <si>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</si>
  <si>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</si>
  <si>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</si>
  <si>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</si>
  <si>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</si>
  <si>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</si>
  <si>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</si>
  <si>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</si>
  <si>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</si>
  <si>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</si>
  <si>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</si>
  <si>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</si>
  <si>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</si>
  <si>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</si>
  <si>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</si>
  <si>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</si>
  <si>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</si>
  <si>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</si>
  <si>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</si>
  <si>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</si>
  <si>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</si>
  <si>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</si>
  <si>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</si>
  <si>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</si>
  <si>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</si>
  <si>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</si>
  <si>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</si>
  <si>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</si>
  <si>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</si>
  <si>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</si>
  <si>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</si>
  <si>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</si>
  <si>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</si>
  <si>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</si>
  <si>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</si>
  <si>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</si>
  <si>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</si>
  <si>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</si>
  <si>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</si>
  <si>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</si>
  <si>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</si>
  <si>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</si>
  <si>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</si>
  <si>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</si>
  <si>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</si>
  <si>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</si>
  <si>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</si>
  <si>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</si>
  <si>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</si>
  <si>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</si>
  <si>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</si>
  <si>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</si>
  <si>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</si>
  <si>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</si>
  <si>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</si>
  <si>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</si>
  <si>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</si>
  <si>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</si>
  <si>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</si>
  <si>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</si>
  <si>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</si>
  <si>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</si>
  <si>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</si>
  <si>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</si>
  <si>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</si>
  <si>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</si>
  <si>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</si>
  <si>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</si>
  <si>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</si>
  <si>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</si>
  <si>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</si>
  <si>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</si>
  <si>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</si>
  <si>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</si>
  <si>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</si>
  <si>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</si>
  <si>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</si>
  <si>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</si>
  <si>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</si>
  <si>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</si>
  <si>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</si>
  <si>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</si>
  <si>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</si>
  <si>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</si>
  <si>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</si>
  <si>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</si>
  <si>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</si>
  <si>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</si>
  <si>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</si>
  <si>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</si>
  <si>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</si>
  <si>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</si>
  <si>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</si>
  <si>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</si>
  <si>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</si>
  <si>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</si>
  <si>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</si>
  <si>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</si>
  <si>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</si>
  <si>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</si>
  <si>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</si>
  <si>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</si>
  <si>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</si>
  <si>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</si>
  <si>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</si>
  <si>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</si>
  <si>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</si>
  <si>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</si>
  <si>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</si>
  <si>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</si>
  <si>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</si>
  <si>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</si>
  <si>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</si>
  <si>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</si>
  <si>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</si>
  <si>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</si>
  <si>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</si>
  <si>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</si>
  <si>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</si>
  <si>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</si>
  <si>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</si>
  <si>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</si>
  <si>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</si>
  <si>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</si>
  <si>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</si>
  <si>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</si>
  <si>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</si>
  <si>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</si>
  <si>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</si>
  <si>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</si>
  <si>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</si>
  <si>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</si>
  <si>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</si>
  <si>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</si>
  <si>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</si>
  <si>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</si>
  <si>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</si>
  <si>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</si>
  <si>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</si>
  <si>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</si>
  <si>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</si>
  <si>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</si>
  <si>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</si>
  <si>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</si>
  <si>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</si>
  <si>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</si>
  <si>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</si>
  <si>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</si>
  <si>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</si>
  <si>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</si>
  <si>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</si>
  <si>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</si>
  <si>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</si>
  <si>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</si>
  <si>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</si>
  <si>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</si>
  <si>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</si>
  <si>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</si>
  <si>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</si>
  <si>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</si>
  <si>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</si>
  <si>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</si>
  <si>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</si>
  <si>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</si>
  <si>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</si>
  <si>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</si>
  <si>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</si>
  <si>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</si>
  <si>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</si>
  <si>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</si>
  <si>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</si>
  <si>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</si>
  <si>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</si>
  <si>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</si>
  <si>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</si>
  <si>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</si>
  <si>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</si>
  <si>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</si>
  <si>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</si>
  <si>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</si>
  <si>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</si>
  <si>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</si>
  <si>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</si>
  <si>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</si>
  <si>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</si>
  <si>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</si>
  <si>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</si>
  <si>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</si>
  <si>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</si>
  <si>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</si>
  <si>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</si>
  <si>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</si>
  <si>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</si>
  <si>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</si>
  <si>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</si>
  <si>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</si>
  <si>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</si>
  <si>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</si>
  <si>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</si>
  <si>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</si>
  <si>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</si>
  <si>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</si>
  <si>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</si>
  <si>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</si>
  <si>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</si>
  <si>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</si>
  <si>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</si>
  <si>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</si>
  <si>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</si>
  <si>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</si>
  <si>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</si>
  <si>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</si>
  <si>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</si>
  <si>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</si>
  <si>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</si>
  <si>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</si>
  <si>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</si>
  <si>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</si>
  <si>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</si>
  <si>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</si>
  <si>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</si>
  <si>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</si>
  <si>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</si>
  <si>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</si>
  <si>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</si>
  <si>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</si>
  <si>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</si>
  <si>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</si>
  <si>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</si>
  <si>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</si>
  <si>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</si>
  <si>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</si>
  <si>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</si>
  <si>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</si>
  <si>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</si>
  <si>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</si>
  <si>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</si>
  <si>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</si>
  <si>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</si>
  <si>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</si>
  <si>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</si>
  <si>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</si>
  <si>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</si>
  <si>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</si>
  <si>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</si>
  <si>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</si>
  <si>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</si>
  <si>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</si>
  <si>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</si>
  <si>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</si>
  <si>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</si>
  <si>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</si>
  <si>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</si>
  <si>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</si>
  <si>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</si>
  <si>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</si>
  <si>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</si>
  <si>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</si>
  <si>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</si>
  <si>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</si>
  <si>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</si>
  <si>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</si>
  <si>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</si>
  <si>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</si>
  <si>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</si>
  <si>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</si>
  <si>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</si>
  <si>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</si>
  <si>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</si>
  <si>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</si>
  <si>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</si>
  <si>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</si>
  <si>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</si>
  <si>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</si>
  <si>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</si>
  <si>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</si>
  <si>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</si>
  <si>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</si>
  <si>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</si>
  <si>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</si>
  <si>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</si>
  <si>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</si>
  <si>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</si>
  <si>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</si>
  <si>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</si>
  <si>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</si>
  <si>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</si>
  <si>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</si>
  <si>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</si>
  <si>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</si>
  <si>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</si>
  <si>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</si>
  <si>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</si>
  <si>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</si>
  <si>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</si>
  <si>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</si>
  <si>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</si>
  <si>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</si>
  <si>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</si>
  <si>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</si>
  <si>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</si>
  <si>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</si>
  <si>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</si>
  <si>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</si>
  <si>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</si>
  <si>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</si>
  <si>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</si>
  <si>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</si>
  <si>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</si>
  <si>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</si>
  <si>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</si>
  <si>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</si>
  <si>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</si>
  <si>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</si>
  <si>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</si>
  <si>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</si>
  <si>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</si>
  <si>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</si>
  <si>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</si>
  <si>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</si>
  <si>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</si>
  <si>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</si>
  <si>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</si>
  <si>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</si>
  <si>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</si>
  <si>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</si>
  <si>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</si>
  <si>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</si>
  <si>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</si>
  <si>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</si>
  <si>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</si>
  <si>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</si>
  <si>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</si>
  <si>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</si>
  <si>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</si>
  <si>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</si>
  <si>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</si>
  <si>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</si>
  <si>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</si>
  <si>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</si>
  <si>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</si>
  <si>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</si>
  <si>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</si>
  <si>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</si>
  <si>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</si>
  <si>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</si>
  <si>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</si>
  <si>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</si>
  <si>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</si>
  <si>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</si>
  <si>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</si>
  <si>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</si>
  <si>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</si>
  <si>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</si>
  <si>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</si>
  <si>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</si>
  <si>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</si>
  <si>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</si>
  <si>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</si>
  <si>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</si>
  <si>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</si>
  <si>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</si>
  <si>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</si>
  <si>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</si>
  <si>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</si>
  <si>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</si>
  <si>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</si>
  <si>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</si>
  <si>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</si>
  <si>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</si>
  <si>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</si>
  <si>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</si>
  <si>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</si>
  <si>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</si>
  <si>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</si>
  <si>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</si>
  <si>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</si>
  <si>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</si>
  <si>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</si>
  <si>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</si>
  <si>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</si>
  <si>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</si>
  <si>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</si>
  <si>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</si>
  <si>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</si>
  <si>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</si>
  <si>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</si>
  <si>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</si>
  <si>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</si>
  <si>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</si>
  <si>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</si>
  <si>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</si>
  <si>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</si>
  <si>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</si>
  <si>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</si>
  <si>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</si>
  <si>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</si>
  <si>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</si>
  <si>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</si>
  <si>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</si>
  <si>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</si>
  <si>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</si>
  <si>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</si>
  <si>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</si>
  <si>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</si>
  <si>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</si>
  <si>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</si>
  <si>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</si>
  <si>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</si>
  <si>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</si>
  <si>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</si>
  <si>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</si>
  <si>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</si>
  <si>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</si>
  <si>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</si>
  <si>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</si>
  <si>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</si>
  <si>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</si>
  <si>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</si>
  <si>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</si>
  <si>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</si>
  <si>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</si>
  <si>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</si>
  <si>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</si>
  <si>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</si>
  <si>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</si>
  <si>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</si>
  <si>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</si>
  <si>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</si>
  <si>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</si>
  <si>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</si>
  <si>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</si>
  <si>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</si>
  <si>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</si>
  <si>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</si>
  <si>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</si>
  <si>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</si>
  <si>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</si>
  <si>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</si>
  <si>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</si>
  <si>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</si>
  <si>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</si>
  <si>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</si>
  <si>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</si>
  <si>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</si>
  <si>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</si>
  <si>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</si>
  <si>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</si>
  <si>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</si>
  <si>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</si>
  <si>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</si>
  <si>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</si>
  <si>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</si>
  <si>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</si>
  <si>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</si>
  <si>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</si>
  <si>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</si>
  <si>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</si>
  <si>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</si>
  <si>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</si>
  <si>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</si>
  <si>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</si>
  <si>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</si>
  <si>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</si>
  <si>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</si>
  <si>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</si>
  <si>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</si>
  <si>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</si>
  <si>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</si>
  <si>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</si>
  <si>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</si>
  <si>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</si>
  <si>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</si>
  <si>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</si>
  <si>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</si>
  <si>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</si>
  <si>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</si>
  <si>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</si>
  <si>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</si>
  <si>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</si>
  <si>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</si>
  <si>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</si>
  <si>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</si>
  <si>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</si>
  <si>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</si>
  <si>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</si>
  <si>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</si>
  <si>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</si>
  <si>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</si>
  <si>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</si>
  <si>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</si>
  <si>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</si>
  <si>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</si>
  <si>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</si>
  <si>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</si>
  <si>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</si>
  <si>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</si>
  <si>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</si>
  <si>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</si>
  <si>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</si>
  <si>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</si>
  <si>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</si>
  <si>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</si>
  <si>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</si>
  <si>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</si>
  <si>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</si>
  <si>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</si>
  <si>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</si>
  <si>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</si>
  <si>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</si>
  <si>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</si>
  <si>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</si>
  <si>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</si>
  <si>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</si>
  <si>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</si>
  <si>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</si>
  <si>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</si>
  <si>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</si>
  <si>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</si>
  <si>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</si>
  <si>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</si>
  <si>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</si>
  <si>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</si>
  <si>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</si>
  <si>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</si>
  <si>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</si>
  <si>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</si>
  <si>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</si>
  <si>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</si>
  <si>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</si>
  <si>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</si>
  <si>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</si>
  <si>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</si>
  <si>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</si>
  <si>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</si>
  <si>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</si>
  <si>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</si>
  <si>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</si>
  <si>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</si>
  <si>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</si>
  <si>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</si>
  <si>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</si>
  <si>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</si>
  <si>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</si>
  <si>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</si>
  <si>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</si>
  <si>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</si>
  <si>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</si>
  <si>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</si>
  <si>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</si>
  <si>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</si>
  <si>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</si>
  <si>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</si>
  <si>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</si>
  <si>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</si>
  <si>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</si>
  <si>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</si>
  <si>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</si>
  <si>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</si>
  <si>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</si>
  <si>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</si>
  <si>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</si>
  <si>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</si>
  <si>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</si>
  <si>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</si>
  <si>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</si>
  <si>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</si>
  <si>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</si>
  <si>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</si>
  <si>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</si>
  <si>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</si>
  <si>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</si>
  <si>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</si>
  <si>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</si>
  <si>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</si>
  <si>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</si>
  <si>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</si>
  <si>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</si>
  <si>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</si>
  <si>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</si>
  <si>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</si>
  <si>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</si>
  <si>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</si>
  <si>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</si>
  <si>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</si>
  <si>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</si>
  <si>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</si>
  <si>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</si>
  <si>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</si>
  <si>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</si>
  <si>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</si>
  <si>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</si>
  <si>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</si>
  <si>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</si>
  <si>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</si>
  <si>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</si>
  <si>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</si>
  <si>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</si>
  <si>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</si>
  <si>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</si>
  <si>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</si>
  <si>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</si>
  <si>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</si>
  <si>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</si>
  <si>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</si>
  <si>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</si>
  <si>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</si>
  <si>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</si>
  <si>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</si>
  <si>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</si>
  <si>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</si>
  <si>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</si>
  <si>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</si>
  <si>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</si>
  <si>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</si>
  <si>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</si>
  <si>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</si>
  <si>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</si>
  <si>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</si>
  <si>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</si>
  <si>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</si>
  <si>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</si>
  <si>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</si>
  <si>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</si>
  <si>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</si>
  <si>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</si>
  <si>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</si>
  <si>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</si>
  <si>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</si>
  <si>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</si>
  <si>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</si>
  <si>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</si>
  <si>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</si>
  <si>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</si>
  <si>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</si>
  <si>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</si>
  <si>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</si>
  <si>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</si>
  <si>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</si>
  <si>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</si>
  <si>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</si>
  <si>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</si>
  <si>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</si>
  <si>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</si>
  <si>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</si>
  <si>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</si>
  <si>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</si>
  <si>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</si>
  <si>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</si>
  <si>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</si>
  <si>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</si>
  <si>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</si>
  <si>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</si>
  <si>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</si>
  <si>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</si>
  <si>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</si>
  <si>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</si>
  <si>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</si>
  <si>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</si>
  <si>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</si>
  <si>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</si>
  <si>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</si>
  <si>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</si>
  <si>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</si>
  <si>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</si>
  <si>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</si>
  <si>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</si>
  <si>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</si>
  <si>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</si>
  <si>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</si>
  <si>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</si>
  <si>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</si>
  <si>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</si>
  <si>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</si>
  <si>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</si>
  <si>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</si>
  <si>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</si>
  <si>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</si>
  <si>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</si>
  <si>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</si>
  <si>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</si>
  <si>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</si>
  <si>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</si>
  <si>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</si>
  <si>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</si>
  <si>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</si>
  <si>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</si>
  <si>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</si>
  <si>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</si>
  <si>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</si>
  <si>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</si>
  <si>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</si>
  <si>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</si>
  <si>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</si>
  <si>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</si>
  <si>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</si>
  <si>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</si>
  <si>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</si>
  <si>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</si>
  <si>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</si>
  <si>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</si>
  <si>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</si>
  <si>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</si>
  <si>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</si>
  <si>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</si>
  <si>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</si>
  <si>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</si>
  <si>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</si>
  <si>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</si>
  <si>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</si>
  <si>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</si>
  <si>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</si>
  <si>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</si>
  <si>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</si>
  <si>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</si>
  <si>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</si>
  <si>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</si>
  <si>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</si>
  <si>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</si>
  <si>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</si>
  <si>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</si>
  <si>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</si>
  <si>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</si>
  <si>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</si>
  <si>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</si>
  <si>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</si>
  <si>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</si>
  <si>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</si>
  <si>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</si>
  <si>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</si>
  <si>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</si>
  <si>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</si>
  <si>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</si>
  <si>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</si>
  <si>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</si>
  <si>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</si>
  <si>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</si>
  <si>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</si>
  <si>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</si>
  <si>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</si>
  <si>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</si>
  <si>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</si>
  <si>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</si>
  <si>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</si>
  <si>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</si>
  <si>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</si>
  <si>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</si>
  <si>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</si>
  <si>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</si>
  <si>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</si>
  <si>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</si>
  <si>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</si>
  <si>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</si>
  <si>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</si>
  <si>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</si>
  <si>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</si>
  <si>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</si>
  <si>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</si>
  <si>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</si>
  <si>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</si>
  <si>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</si>
  <si>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</si>
  <si>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</si>
  <si>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</si>
  <si>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</si>
  <si>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</si>
  <si>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</si>
  <si>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</si>
  <si>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</si>
  <si>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</si>
  <si>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</si>
  <si>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</si>
  <si>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</si>
  <si>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</si>
  <si>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</si>
  <si>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</si>
  <si>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</si>
  <si>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</si>
  <si>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</si>
  <si>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</si>
  <si>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</si>
  <si>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</si>
  <si>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</si>
  <si>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</si>
  <si>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</si>
  <si>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</si>
  <si>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</si>
  <si>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</si>
  <si>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</si>
  <si>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</si>
  <si>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</si>
  <si>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</si>
  <si>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</si>
  <si>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</si>
  <si>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</si>
  <si>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</si>
  <si>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</si>
  <si>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</si>
  <si>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</si>
  <si>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</si>
  <si>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</si>
  <si>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</si>
  <si>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</si>
  <si>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</si>
  <si>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</si>
  <si>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</si>
  <si>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</si>
  <si>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</si>
  <si>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</si>
  <si>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</si>
  <si>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</si>
  <si>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</si>
  <si>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</si>
  <si>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</si>
  <si>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</si>
  <si>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</si>
  <si>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</si>
  <si>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</si>
  <si>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</si>
  <si>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</si>
  <si>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</si>
  <si>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</si>
  <si>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</si>
  <si>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</si>
  <si>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</si>
  <si>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</si>
  <si>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</si>
  <si>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</si>
  <si>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</si>
  <si>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</si>
  <si>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</si>
  <si>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</si>
  <si>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</si>
  <si>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</si>
  <si>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</si>
  <si>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</si>
  <si>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</si>
  <si>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</si>
  <si>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</si>
  <si>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</si>
  <si>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</si>
  <si>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</si>
  <si>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</si>
  <si>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</si>
  <si>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</si>
  <si>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</si>
  <si>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</si>
  <si>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</si>
  <si>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</si>
  <si>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</si>
  <si>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</si>
  <si>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</si>
  <si>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</si>
  <si>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</si>
  <si>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</si>
  <si>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</si>
  <si>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</si>
  <si>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</si>
  <si>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</si>
  <si>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</si>
  <si>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</si>
  <si>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</si>
  <si>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</si>
  <si>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</si>
  <si>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</si>
  <si>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</si>
  <si>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</si>
  <si>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</si>
  <si>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</si>
  <si>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</si>
  <si>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</si>
  <si>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</si>
  <si>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</si>
  <si>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</si>
  <si>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</si>
  <si>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</si>
  <si>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</si>
  <si>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</si>
  <si>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</si>
  <si>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</si>
  <si>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</si>
  <si>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</si>
  <si>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</si>
  <si>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</si>
  <si>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</si>
  <si>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</si>
  <si>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</si>
  <si>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</si>
  <si>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</si>
  <si>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</si>
  <si>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</si>
  <si>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</si>
  <si>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</si>
  <si>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</si>
  <si>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</si>
  <si>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</si>
  <si>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</si>
  <si>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</si>
  <si>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</si>
  <si>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</si>
  <si>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</si>
  <si>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</si>
  <si>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</si>
  <si>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</si>
  <si>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</si>
  <si>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</si>
  <si>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</si>
  <si>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</si>
  <si>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</si>
  <si>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</si>
  <si>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</si>
  <si>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</si>
  <si>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</si>
  <si>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</si>
  <si>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</si>
  <si>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</si>
  <si>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</si>
  <si>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</si>
  <si>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</si>
  <si>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</si>
  <si>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</si>
  <si>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</si>
  <si>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</si>
  <si>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</si>
  <si>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</si>
  <si>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</si>
  <si>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</si>
  <si>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</si>
  <si>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</si>
  <si>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</si>
  <si>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</si>
  <si>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</si>
  <si>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</si>
  <si>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</si>
  <si>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</si>
  <si>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</si>
  <si>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</si>
  <si>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</si>
  <si>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</si>
  <si>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</si>
  <si>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</si>
  <si>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</si>
  <si>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</si>
  <si>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</si>
  <si>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</si>
  <si>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</si>
  <si>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</si>
  <si>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</si>
  <si>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</si>
  <si>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</si>
  <si>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</si>
  <si>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</si>
  <si>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</si>
  <si>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</si>
  <si>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</si>
  <si>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</si>
  <si>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</si>
  <si>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</si>
  <si>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</si>
  <si>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</si>
  <si>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</si>
  <si>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</si>
  <si>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</si>
  <si>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</si>
  <si>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</si>
  <si>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</si>
  <si>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</si>
  <si>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</si>
  <si>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</si>
  <si>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</si>
  <si>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</si>
  <si>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</si>
  <si>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</si>
  <si>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</si>
  <si>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</si>
  <si>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</si>
  <si>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</si>
  <si>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</si>
  <si>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</si>
  <si>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</si>
  <si>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</si>
  <si>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</si>
  <si>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</si>
  <si>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</si>
  <si>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</si>
  <si>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</si>
  <si>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</si>
  <si>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</si>
  <si>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</si>
  <si>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</si>
  <si>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</si>
  <si>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</si>
  <si>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</si>
  <si>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</si>
  <si>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</si>
  <si>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</si>
  <si>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</si>
  <si>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</si>
  <si>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</si>
  <si>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</si>
  <si>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</si>
  <si>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</si>
  <si>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</si>
  <si>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</si>
  <si>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</si>
  <si>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</si>
  <si>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</si>
  <si>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</si>
  <si>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</si>
  <si>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</si>
  <si>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</si>
  <si>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</si>
  <si>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</si>
  <si>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</si>
  <si>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</si>
  <si>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</si>
  <si>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</si>
  <si>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</si>
  <si>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</si>
  <si>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</si>
  <si>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</si>
  <si>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</si>
  <si>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</si>
  <si>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</si>
  <si>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</si>
  <si>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</si>
  <si>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</si>
  <si>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</si>
  <si>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</si>
  <si>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</si>
  <si>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</si>
  <si>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</si>
  <si>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</si>
  <si>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</si>
  <si>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</si>
  <si>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</si>
  <si>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</si>
  <si>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</si>
  <si>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</si>
  <si>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</si>
  <si>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</si>
  <si>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</si>
  <si>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</si>
  <si>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</si>
  <si>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</si>
  <si>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</si>
  <si>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</si>
  <si>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</si>
  <si>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</si>
  <si>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</si>
  <si>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</si>
  <si>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</si>
  <si>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</si>
  <si>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</si>
  <si>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</si>
  <si>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</si>
  <si>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</si>
  <si>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</si>
  <si>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</si>
  <si>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</si>
  <si>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</si>
  <si>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</si>
  <si>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</si>
  <si>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</si>
  <si>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</si>
  <si>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</si>
  <si>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</si>
  <si>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</si>
  <si>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</si>
  <si>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</si>
  <si>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</si>
  <si>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</si>
  <si>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</si>
  <si>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</si>
  <si>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</si>
  <si>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</si>
  <si>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</si>
  <si>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</si>
  <si>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</si>
  <si>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</si>
  <si>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</si>
  <si>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</si>
  <si>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</si>
  <si>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</si>
  <si>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</si>
  <si>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</si>
  <si>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</si>
  <si>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</si>
  <si>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</si>
  <si>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</si>
  <si>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</si>
  <si>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</si>
  <si>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</si>
  <si>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</si>
  <si>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</si>
  <si>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</si>
  <si>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</si>
  <si>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</si>
  <si>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</si>
  <si>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</si>
  <si>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</si>
  <si>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</si>
  <si>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</si>
  <si>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</si>
  <si>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</si>
  <si>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</si>
  <si>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</si>
  <si>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</si>
  <si>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</si>
  <si>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</si>
  <si>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</si>
  <si>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</si>
  <si>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</si>
  <si>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</si>
  <si>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</si>
  <si>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</si>
  <si>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</si>
  <si>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</si>
  <si>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</si>
  <si>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</si>
  <si>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</si>
  <si>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</si>
  <si>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</si>
  <si>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</si>
  <si>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</si>
  <si>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</si>
  <si>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</si>
  <si>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</si>
  <si>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</si>
  <si>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</si>
  <si>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</si>
  <si>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</si>
  <si>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</si>
  <si>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</si>
  <si>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</si>
  <si>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</si>
  <si>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</si>
  <si>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</si>
  <si>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</si>
  <si>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</si>
  <si>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</si>
  <si>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</si>
  <si>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</si>
  <si>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</si>
  <si>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</si>
  <si>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</si>
  <si>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</si>
  <si>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</si>
  <si>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</si>
  <si>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</si>
  <si>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</si>
  <si>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</si>
  <si>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</si>
  <si>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</si>
  <si>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</si>
  <si>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</si>
  <si>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</si>
  <si>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</si>
  <si>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</si>
  <si>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</si>
  <si>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</si>
  <si>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</si>
  <si>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</si>
  <si>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</si>
  <si>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</si>
  <si>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</si>
  <si>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</si>
  <si>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</si>
  <si>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</si>
  <si>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</si>
  <si>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</si>
  <si>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</si>
  <si>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</si>
  <si>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</si>
  <si>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</si>
  <si>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</si>
  <si>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</si>
  <si>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</si>
  <si>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</si>
  <si>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</si>
  <si>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</si>
  <si>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</si>
  <si>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</si>
  <si>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</si>
  <si>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</si>
  <si>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</si>
  <si>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</si>
  <si>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</si>
  <si>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</si>
  <si>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</si>
  <si>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</si>
  <si>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</si>
  <si>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</si>
  <si>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</si>
  <si>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</si>
  <si>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</si>
  <si>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</si>
  <si>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</si>
  <si>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</si>
  <si>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</si>
  <si>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</si>
  <si>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</si>
  <si>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</si>
  <si>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</si>
  <si>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</si>
  <si>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</si>
  <si>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</si>
  <si>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</si>
  <si>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</si>
  <si>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</si>
  <si>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</si>
  <si>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</si>
  <si>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</si>
  <si>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</si>
  <si>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</si>
  <si>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</si>
  <si>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</si>
  <si>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</si>
  <si>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</si>
  <si>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</si>
  <si>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</si>
  <si>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</si>
  <si>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</si>
  <si>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</si>
  <si>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</si>
  <si>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</si>
  <si>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</si>
  <si>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</si>
  <si>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</si>
  <si>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</si>
  <si>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</si>
  <si>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</si>
  <si>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</si>
  <si>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</si>
  <si>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</si>
  <si>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</si>
  <si>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</si>
  <si>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</si>
  <si>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</si>
  <si>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</si>
  <si>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</si>
  <si>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</si>
  <si>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</si>
  <si>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</si>
  <si>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</si>
  <si>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</si>
  <si>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</si>
  <si>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</si>
  <si>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</si>
  <si>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</si>
  <si>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</si>
  <si>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</si>
  <si>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</si>
  <si>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</si>
  <si>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</si>
  <si>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</si>
  <si>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</si>
  <si>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</si>
  <si>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</si>
  <si>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</si>
  <si>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</si>
  <si>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</si>
  <si>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</si>
  <si>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</si>
  <si>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</si>
  <si>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</si>
  <si>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</si>
  <si>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</si>
  <si>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</si>
  <si>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</si>
  <si>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</si>
  <si>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</si>
  <si>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</si>
  <si>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</si>
  <si>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</si>
  <si>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</si>
  <si>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</si>
  <si>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</si>
  <si>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</si>
  <si>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</si>
  <si>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</si>
  <si>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</si>
  <si>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</si>
  <si>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</si>
  <si>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</si>
  <si>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</si>
  <si>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</si>
  <si>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</si>
  <si>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</si>
  <si>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</si>
  <si>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</si>
  <si>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</si>
  <si>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</si>
  <si>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</si>
  <si>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</si>
  <si>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</si>
  <si>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</si>
  <si>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</si>
  <si>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</si>
  <si>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</si>
  <si>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</si>
  <si>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</si>
  <si>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</si>
  <si>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</si>
  <si>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</si>
  <si>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</si>
  <si>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</si>
  <si>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</si>
  <si>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</si>
  <si>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</si>
  <si>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</si>
  <si>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</si>
  <si>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</si>
  <si>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</si>
  <si>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</si>
  <si>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</si>
  <si>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</si>
  <si>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</si>
  <si>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</si>
  <si>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</si>
  <si>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</si>
  <si>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</si>
  <si>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</si>
  <si>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</si>
  <si>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</si>
  <si>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</si>
  <si>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</si>
  <si>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</si>
  <si>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</si>
  <si>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</si>
  <si>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</si>
  <si>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</si>
  <si>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</si>
  <si>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</si>
  <si>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</si>
  <si>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</si>
  <si>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</si>
  <si>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</si>
  <si>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</si>
  <si>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</si>
  <si>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</si>
  <si>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</si>
  <si>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</si>
  <si>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</si>
  <si>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</si>
  <si>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</si>
  <si>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</si>
  <si>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</si>
  <si>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</si>
  <si>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</si>
  <si>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</si>
  <si>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</si>
  <si>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</si>
  <si>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</si>
  <si>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</si>
  <si>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</si>
  <si>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</si>
  <si>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</si>
  <si>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</si>
  <si>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</si>
  <si>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</si>
  <si>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</si>
  <si>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</si>
  <si>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</si>
  <si>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</si>
  <si>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</si>
  <si>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</si>
  <si>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</si>
  <si>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</si>
  <si>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</si>
  <si>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</si>
  <si>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</si>
  <si>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</si>
  <si>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</si>
  <si>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</si>
  <si>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</si>
  <si>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</si>
  <si>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</si>
  <si>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</si>
  <si>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</si>
  <si>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</si>
  <si>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</si>
  <si>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</si>
  <si>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</si>
  <si>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</si>
  <si>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</si>
  <si>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</si>
  <si>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</si>
  <si>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</si>
  <si>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</si>
  <si>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</si>
  <si>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</si>
  <si>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</si>
  <si>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</si>
  <si>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</si>
  <si>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</si>
  <si>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</si>
  <si>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</si>
  <si>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</si>
  <si>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</si>
  <si>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</si>
  <si>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</si>
  <si>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</si>
  <si>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</si>
  <si>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</si>
  <si>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</si>
  <si>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</si>
  <si>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</si>
  <si>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</si>
  <si>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</si>
  <si>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</si>
  <si>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</si>
  <si>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</si>
  <si>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</si>
  <si>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</si>
  <si>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</si>
  <si>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</si>
  <si>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</si>
  <si>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</si>
  <si>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</si>
  <si>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</si>
  <si>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</si>
  <si>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</si>
  <si>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</si>
  <si>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</si>
  <si>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</si>
  <si>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</si>
  <si>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</si>
  <si>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</si>
  <si>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</si>
  <si>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</si>
  <si>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</si>
  <si>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</si>
  <si>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</si>
  <si>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</si>
  <si>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</si>
  <si>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</si>
  <si>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</si>
  <si>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</si>
  <si>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</si>
  <si>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</si>
  <si>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</si>
  <si>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</si>
  <si>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</si>
  <si>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</si>
  <si>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</si>
  <si>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</si>
  <si>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</si>
  <si>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</si>
  <si>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</si>
  <si>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</si>
  <si>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</si>
  <si>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</si>
  <si>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</si>
  <si>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</si>
  <si>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</si>
  <si>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</si>
  <si>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</si>
  <si>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</si>
  <si>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</si>
  <si>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</si>
  <si>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</si>
  <si>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</si>
  <si>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</si>
  <si>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</si>
  <si>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</si>
  <si>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</si>
  <si>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</si>
  <si>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</si>
  <si>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</si>
  <si>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</si>
  <si>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</si>
  <si>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</si>
  <si>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</si>
  <si>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</si>
  <si>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</si>
  <si>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</si>
  <si>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</si>
  <si>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</si>
  <si>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</si>
  <si>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</si>
  <si>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</si>
  <si>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</si>
  <si>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</si>
  <si>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</si>
  <si>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</si>
  <si>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</si>
  <si>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</si>
  <si>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</si>
  <si>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</si>
  <si>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</si>
  <si>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</si>
  <si>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</si>
  <si>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</si>
  <si>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</si>
  <si>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</si>
  <si>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</si>
  <si>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</si>
  <si>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</si>
  <si>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</si>
  <si>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</si>
  <si>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</si>
  <si>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</si>
  <si>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</si>
  <si>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</si>
  <si>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</si>
  <si>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</si>
  <si>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</si>
  <si>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</si>
  <si>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</si>
  <si>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</si>
  <si>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</si>
  <si>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</si>
  <si>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</si>
  <si>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</si>
  <si>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</si>
  <si>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</si>
  <si>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</si>
  <si>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</si>
  <si>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</si>
  <si>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</si>
  <si>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</si>
  <si>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</si>
  <si>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</si>
  <si>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</si>
  <si>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</si>
  <si>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</si>
  <si>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</si>
  <si>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</si>
  <si>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</si>
  <si>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</si>
  <si>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</si>
  <si>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</si>
  <si>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</si>
  <si>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</si>
  <si>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</si>
  <si>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</si>
  <si>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</si>
  <si>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</si>
  <si>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</si>
  <si>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</si>
  <si>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</si>
  <si>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</si>
  <si>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</si>
  <si>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</si>
  <si>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</si>
  <si>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</si>
  <si>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</si>
  <si>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</si>
  <si>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</si>
  <si>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</si>
  <si>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</si>
  <si>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</si>
  <si>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</si>
  <si>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</si>
  <si>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</si>
  <si>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</si>
  <si>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</si>
  <si>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</si>
  <si>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</si>
  <si>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</si>
  <si>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</si>
  <si>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</si>
  <si>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</si>
  <si>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</si>
  <si>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</si>
  <si>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</si>
  <si>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</si>
  <si>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</si>
  <si>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</si>
  <si>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</si>
  <si>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</si>
  <si>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</si>
  <si>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</si>
  <si>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</si>
  <si>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</si>
  <si>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</si>
  <si>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</si>
  <si>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</si>
  <si>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</si>
  <si>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</si>
  <si>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</si>
  <si>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</si>
  <si>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</si>
  <si>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</si>
  <si>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</si>
  <si>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</si>
  <si>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</si>
  <si>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</si>
  <si>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</si>
  <si>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</si>
  <si>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</si>
  <si>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</si>
  <si>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</si>
  <si>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</si>
  <si>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</si>
  <si>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</si>
  <si>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</si>
  <si>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</si>
  <si>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</si>
  <si>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</si>
  <si>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</si>
  <si>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</si>
  <si>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</si>
  <si>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</si>
  <si>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</si>
  <si>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</si>
  <si>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</si>
  <si>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</si>
  <si>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</si>
  <si>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</si>
  <si>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</si>
  <si>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</si>
  <si>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</si>
  <si>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</si>
  <si>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</si>
  <si>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</si>
  <si>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</si>
  <si>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</si>
  <si>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</si>
  <si>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</si>
  <si>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</si>
  <si>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</si>
  <si>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</si>
  <si>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</si>
  <si>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</si>
  <si>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</si>
  <si>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</si>
  <si>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</si>
  <si>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</si>
  <si>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</si>
  <si>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</si>
  <si>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</si>
  <si>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</si>
  <si>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</si>
  <si>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</si>
  <si>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</si>
  <si>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</si>
  <si>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</si>
  <si>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</si>
  <si>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</si>
  <si>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</si>
  <si>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</si>
  <si>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</si>
  <si>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</si>
  <si>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</si>
  <si>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</si>
  <si>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</si>
  <si>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</si>
  <si>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</si>
  <si>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</si>
  <si>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</si>
  <si>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</si>
  <si>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</si>
  <si>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</si>
  <si>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</si>
  <si>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</si>
  <si>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</si>
  <si>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</si>
  <si>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</si>
  <si>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</si>
  <si>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</si>
  <si>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</si>
  <si>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</si>
  <si>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</si>
  <si>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</si>
  <si>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</si>
  <si>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</si>
  <si>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</si>
  <si>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</si>
  <si>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</si>
  <si>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</si>
  <si>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</si>
  <si>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</si>
  <si>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</si>
  <si>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</si>
  <si>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</si>
  <si>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</si>
  <si>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</si>
  <si>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</si>
  <si>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</si>
  <si>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</si>
  <si>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</si>
  <si>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</si>
  <si>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</si>
  <si>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</si>
  <si>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</si>
  <si>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</si>
  <si>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</si>
  <si>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</si>
  <si>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</si>
  <si>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</si>
  <si>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</si>
  <si>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</si>
  <si>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</si>
  <si>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</si>
  <si>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</si>
  <si>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</si>
  <si>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</si>
  <si>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</si>
  <si>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</si>
  <si>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</si>
  <si>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</si>
  <si>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</si>
  <si>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</si>
  <si>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</si>
  <si>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</si>
  <si>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</si>
  <si>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</si>
  <si>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</si>
  <si>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</si>
  <si>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</si>
  <si>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</si>
  <si>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</si>
  <si>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</si>
  <si>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</si>
  <si>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</si>
  <si>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</si>
  <si>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</si>
  <si>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</si>
  <si>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</si>
  <si>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</si>
  <si>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</si>
  <si>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</si>
  <si>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</si>
  <si>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</si>
  <si>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</si>
  <si>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</si>
  <si>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</si>
  <si>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</si>
  <si>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</si>
  <si>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</si>
  <si>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</si>
  <si>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</si>
  <si>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</si>
  <si>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</si>
  <si>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</si>
  <si>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</si>
  <si>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</si>
  <si>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</si>
  <si>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</si>
  <si>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</si>
  <si>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</si>
  <si>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</si>
  <si>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</si>
  <si>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</si>
  <si>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</si>
  <si>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</si>
  <si>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</si>
  <si>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</si>
  <si>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</si>
  <si>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</si>
  <si>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</si>
  <si>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</si>
  <si>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</si>
  <si>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</si>
  <si>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</si>
  <si>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</si>
  <si>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</si>
  <si>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</si>
  <si>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</si>
  <si>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</si>
  <si>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</si>
  <si>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</si>
  <si>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</si>
  <si>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</si>
  <si>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</si>
  <si>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</si>
  <si>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</si>
  <si>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</si>
  <si>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</si>
  <si>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</si>
  <si>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</si>
  <si>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</si>
  <si>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</si>
  <si>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</si>
  <si>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</si>
  <si>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</si>
  <si>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</si>
  <si>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</si>
  <si>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</si>
  <si>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</si>
  <si>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</si>
  <si>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</si>
  <si>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</si>
  <si>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</si>
  <si>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</si>
  <si>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</si>
  <si>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</si>
  <si>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</si>
  <si>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</si>
  <si>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</si>
  <si>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</si>
  <si>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</si>
  <si>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</si>
  <si>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</si>
  <si>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</si>
  <si>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</si>
  <si>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</si>
  <si>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</si>
  <si>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</si>
  <si>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</si>
  <si>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</si>
  <si>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</si>
  <si>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</si>
  <si>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</si>
  <si>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</si>
  <si>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</si>
  <si>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</si>
  <si>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</si>
  <si>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</si>
  <si>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</si>
  <si>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</si>
  <si>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</si>
  <si>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</si>
  <si>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</si>
  <si>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</si>
  <si>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</si>
  <si>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</si>
  <si>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</si>
  <si>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</si>
  <si>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</si>
  <si>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</si>
  <si>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</si>
  <si>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</si>
  <si>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</si>
  <si>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</si>
  <si>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</si>
  <si>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</si>
  <si>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</si>
  <si>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</si>
  <si>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</si>
  <si>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</si>
  <si>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</si>
  <si>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</si>
  <si>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</si>
  <si>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</si>
  <si>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</si>
  <si>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</si>
  <si>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</si>
  <si>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</si>
  <si>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</si>
  <si>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</si>
  <si>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</si>
  <si>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</si>
  <si>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</si>
  <si>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</si>
  <si>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</si>
  <si>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</si>
  <si>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</si>
  <si>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</si>
  <si>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</si>
  <si>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</si>
  <si>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</si>
  <si>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</si>
  <si>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</si>
  <si>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</si>
  <si>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</si>
  <si>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</si>
  <si>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</si>
  <si>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</si>
  <si>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</si>
  <si>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</si>
  <si>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</si>
  <si>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</si>
  <si>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</si>
  <si>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</si>
  <si>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</si>
  <si>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</si>
  <si>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</si>
  <si>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</si>
  <si>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</si>
  <si>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</si>
  <si>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</si>
  <si>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</si>
  <si>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</si>
  <si>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</si>
  <si>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</si>
  <si>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</si>
  <si>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</si>
  <si>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</si>
  <si>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</si>
  <si>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</si>
  <si>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</si>
  <si>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</si>
  <si>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</si>
  <si>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</si>
  <si>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</si>
  <si>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</si>
  <si>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</si>
  <si>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</si>
  <si>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</si>
  <si>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</si>
  <si>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</si>
  <si>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</si>
  <si>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</si>
  <si>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</si>
  <si>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</si>
  <si>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</si>
  <si>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</si>
  <si>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</si>
  <si>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</si>
  <si>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</si>
  <si>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</si>
  <si>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</si>
  <si>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</si>
  <si>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</si>
  <si>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</si>
  <si>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</si>
  <si>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</si>
  <si>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</si>
  <si>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</si>
  <si>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</si>
  <si>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</si>
  <si>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</si>
  <si>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</si>
  <si>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</si>
  <si>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</si>
  <si>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</si>
  <si>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</si>
  <si>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</si>
  <si>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</si>
  <si>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</si>
  <si>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</si>
  <si>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</si>
  <si>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</si>
  <si>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</si>
  <si>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</si>
  <si>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</si>
  <si>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</si>
  <si>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</si>
  <si>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</si>
  <si>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</si>
  <si>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</si>
  <si>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</si>
  <si>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</si>
  <si>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</si>
  <si>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</si>
  <si>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</si>
  <si>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</si>
  <si>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</si>
  <si>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</si>
  <si>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</si>
  <si>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</si>
  <si>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</si>
  <si>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</si>
  <si>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</si>
  <si>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</si>
  <si>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</si>
  <si>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</si>
  <si>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</si>
  <si>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</si>
  <si>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</si>
  <si>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</si>
  <si>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</si>
  <si>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</si>
  <si>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</si>
  <si>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</si>
  <si>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</si>
  <si>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</si>
  <si>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</si>
  <si>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</si>
  <si>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</si>
  <si>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</si>
  <si>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</si>
  <si>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</si>
  <si>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</si>
  <si>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</si>
  <si>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</si>
  <si>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</si>
  <si>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</si>
  <si>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</si>
  <si>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</si>
  <si>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</si>
  <si>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</si>
  <si>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</si>
  <si>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</si>
  <si>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</si>
  <si>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</si>
  <si>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</si>
  <si>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</si>
  <si>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</si>
  <si>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</si>
  <si>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</si>
  <si>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</si>
  <si>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</si>
  <si>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</si>
  <si>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</si>
  <si>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</si>
  <si>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</si>
  <si>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</si>
  <si>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</si>
  <si>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</si>
  <si>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</si>
  <si>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</si>
  <si>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</si>
  <si>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</si>
  <si>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</si>
  <si>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</si>
  <si>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</si>
  <si>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</si>
  <si>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</si>
  <si>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</si>
  <si>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</si>
  <si>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</si>
  <si>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</si>
  <si>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</si>
  <si>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</si>
  <si>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</si>
  <si>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</si>
  <si>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</si>
  <si>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</si>
  <si>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</si>
  <si>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</si>
  <si>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</si>
  <si>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</si>
  <si>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</si>
  <si>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</si>
  <si>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</si>
  <si>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</si>
  <si>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</si>
  <si>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</si>
  <si>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</si>
  <si>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</si>
  <si>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</si>
  <si>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</si>
  <si>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</si>
  <si>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</si>
  <si>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</si>
  <si>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</si>
  <si>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</si>
  <si>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</si>
  <si>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</si>
  <si>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</si>
  <si>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</si>
  <si>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</si>
  <si>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</si>
  <si>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</si>
  <si>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</si>
  <si>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</si>
  <si>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</si>
  <si>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</si>
  <si>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</si>
  <si>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</si>
  <si>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</si>
  <si>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</si>
  <si>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</si>
  <si>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</si>
  <si>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</si>
  <si>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</si>
  <si>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</si>
  <si>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</si>
  <si>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</si>
  <si>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</si>
  <si>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</si>
  <si>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</si>
  <si>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</si>
  <si>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</si>
  <si>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</si>
  <si>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</si>
  <si>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</si>
  <si>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</si>
  <si>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</si>
  <si>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</si>
  <si>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</si>
  <si>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</si>
  <si>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</si>
  <si>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</si>
  <si>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</si>
  <si>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</si>
  <si>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</si>
  <si>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</si>
  <si>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</si>
  <si>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</si>
  <si>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</si>
  <si>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</si>
  <si>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</si>
  <si>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</si>
  <si>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</si>
  <si>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</si>
  <si>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</si>
  <si>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</si>
  <si>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</si>
  <si>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</si>
  <si>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</si>
  <si>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</si>
  <si>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</si>
  <si>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</si>
  <si>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</si>
  <si>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</si>
  <si>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</si>
  <si>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</si>
  <si>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</si>
  <si>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</si>
  <si>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</si>
  <si>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</si>
  <si>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</si>
  <si>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</si>
  <si>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</si>
  <si>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</si>
  <si>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</si>
  <si>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</si>
  <si>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</si>
  <si>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</si>
  <si>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</si>
  <si>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</si>
  <si>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</si>
  <si>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</si>
  <si>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</si>
  <si>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</si>
  <si>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</si>
  <si>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</si>
  <si>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</si>
  <si>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</si>
  <si>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</si>
  <si>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</si>
  <si>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</si>
  <si>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</si>
  <si>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</si>
  <si>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</si>
  <si>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</si>
  <si>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</si>
  <si>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</si>
  <si>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</si>
  <si>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</si>
  <si>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</si>
  <si>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</si>
  <si>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</si>
  <si>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</si>
  <si>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</si>
  <si>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</si>
  <si>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</si>
  <si>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</si>
  <si>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</si>
  <si>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</si>
  <si>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</si>
  <si>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</si>
  <si>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</si>
  <si>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</si>
  <si>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</si>
  <si>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</si>
  <si>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</si>
  <si>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</si>
  <si>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</si>
  <si>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</si>
  <si>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</si>
  <si>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</si>
  <si>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</si>
  <si>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</si>
  <si>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</si>
  <si>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</si>
  <si>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</si>
  <si>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</si>
  <si>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</si>
  <si>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</si>
  <si>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</si>
  <si>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</si>
  <si>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</si>
  <si>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</si>
  <si>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</si>
  <si>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</si>
  <si>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</si>
  <si>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</si>
  <si>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</si>
  <si>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</si>
  <si>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</si>
  <si>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</si>
  <si>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</si>
  <si>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</si>
  <si>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</si>
  <si>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</si>
  <si>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</si>
  <si>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</si>
  <si>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</si>
  <si>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</si>
  <si>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</si>
  <si>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</si>
  <si>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</si>
  <si>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</si>
  <si>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</si>
  <si>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</si>
  <si>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</si>
  <si>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</si>
  <si>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</si>
  <si>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</si>
  <si>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</si>
  <si>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</si>
  <si>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</si>
  <si>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</si>
  <si>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</si>
  <si>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</si>
  <si>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</si>
  <si>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</si>
  <si>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</si>
  <si>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</si>
  <si>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</si>
  <si>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</si>
  <si>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</si>
  <si>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</si>
  <si>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</si>
  <si>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</si>
  <si>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</si>
  <si>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</si>
  <si>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</si>
  <si>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</si>
  <si>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</si>
  <si>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</si>
  <si>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</si>
  <si>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</si>
  <si>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</si>
  <si>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</si>
  <si>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</si>
  <si>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</si>
  <si>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</si>
  <si>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</si>
  <si>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</si>
  <si>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</si>
  <si>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</si>
  <si>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</si>
  <si>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</si>
  <si>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</si>
  <si>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</si>
  <si>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</si>
  <si>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</si>
  <si>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</si>
  <si>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</si>
  <si>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</si>
  <si>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</si>
  <si>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</si>
  <si>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</si>
  <si>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</si>
  <si>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</si>
  <si>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</si>
  <si>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</si>
  <si>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</si>
  <si>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</si>
  <si>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</si>
  <si>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</si>
  <si>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</si>
  <si>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</si>
  <si>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</si>
  <si>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</si>
  <si>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</si>
  <si>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</si>
  <si>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</si>
  <si>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</si>
  <si>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</si>
  <si>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</si>
  <si>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</si>
  <si>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</si>
  <si>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</si>
  <si>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</si>
  <si>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</si>
  <si>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</si>
  <si>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</si>
  <si>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</si>
  <si>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</si>
  <si>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</si>
  <si>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</si>
  <si>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</si>
  <si>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</si>
  <si>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</si>
  <si>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</si>
  <si>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</si>
  <si>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</si>
  <si>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</si>
  <si>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</si>
  <si>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</si>
  <si>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</si>
  <si>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</si>
  <si>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</si>
  <si>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</si>
  <si>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</si>
  <si>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</si>
  <si>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</si>
  <si>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</si>
  <si>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</si>
  <si>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</si>
  <si>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</si>
  <si>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</si>
  <si>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</si>
  <si>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</si>
  <si>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</si>
  <si>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</si>
  <si>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</si>
  <si>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</si>
  <si>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</si>
  <si>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</si>
  <si>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</si>
  <si>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</si>
  <si>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</si>
  <si>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</si>
  <si>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</si>
  <si>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</si>
  <si>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</si>
  <si>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</si>
  <si>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</si>
  <si>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</si>
  <si>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</si>
  <si>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</si>
  <si>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</si>
  <si>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</si>
  <si>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</si>
  <si>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</si>
  <si>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</si>
  <si>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</si>
  <si>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</si>
  <si>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</si>
  <si>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</si>
  <si>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</si>
  <si>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</si>
  <si>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</si>
  <si>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</si>
  <si>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</si>
  <si>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</si>
  <si>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</si>
  <si>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</si>
  <si>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</si>
  <si>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</si>
  <si>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</si>
  <si>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</si>
  <si>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</si>
  <si>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</si>
  <si>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</si>
  <si>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</si>
  <si>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</si>
  <si>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</si>
  <si>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</si>
  <si>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</si>
  <si>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</si>
  <si>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</si>
  <si>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</si>
  <si>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</si>
  <si>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</si>
  <si>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</si>
  <si>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</si>
  <si>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</si>
  <si>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</si>
  <si>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</si>
  <si>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</si>
  <si>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</si>
  <si>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</si>
  <si>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</si>
  <si>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</si>
  <si>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</si>
  <si>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</si>
  <si>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</si>
  <si>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</si>
  <si>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</si>
  <si>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</si>
  <si>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</si>
  <si>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</si>
  <si>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</si>
  <si>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</si>
  <si>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</si>
  <si>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</si>
  <si>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</si>
  <si>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</si>
  <si>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</si>
  <si>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</si>
  <si>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</si>
  <si>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</si>
  <si>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</si>
  <si>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</si>
  <si>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</si>
  <si>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</si>
  <si>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</si>
  <si>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</si>
  <si>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</si>
  <si>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</si>
  <si>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</si>
  <si>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</si>
  <si>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</si>
  <si>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</si>
  <si>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</si>
  <si>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</si>
  <si>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</si>
  <si>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</si>
  <si>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</si>
  <si>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</si>
  <si>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</si>
  <si>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</si>
  <si>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</si>
  <si>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</si>
  <si>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</si>
  <si>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</si>
  <si>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</si>
  <si>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</si>
  <si>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</si>
  <si>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</si>
  <si>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</si>
  <si>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</si>
  <si>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</si>
  <si>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</si>
  <si>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</si>
  <si>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</si>
  <si>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</si>
  <si>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</si>
  <si>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</si>
  <si>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</si>
  <si>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</si>
  <si>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</si>
  <si>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</si>
  <si>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</si>
  <si>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</si>
  <si>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</si>
  <si>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</si>
  <si>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</si>
  <si>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</si>
  <si>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</si>
  <si>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</si>
  <si>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</si>
  <si>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</si>
  <si>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</si>
  <si>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</si>
  <si>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</si>
  <si>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</si>
  <si>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</si>
  <si>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</si>
  <si>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</si>
  <si>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</si>
  <si>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</si>
  <si>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</si>
  <si>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</si>
  <si>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</si>
  <si>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</si>
  <si>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</si>
  <si>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</si>
  <si>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</si>
  <si>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</si>
  <si>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</si>
  <si>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</si>
  <si>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</si>
  <si>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</si>
  <si>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</si>
  <si>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</si>
  <si>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</si>
  <si>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</si>
  <si>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</si>
  <si>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</si>
  <si>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</si>
  <si>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</si>
  <si>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</si>
  <si>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</si>
  <si>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</si>
  <si>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</si>
  <si>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</si>
  <si>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</si>
  <si>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</si>
  <si>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</si>
  <si>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</si>
  <si>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</si>
  <si>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</si>
  <si>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</si>
  <si>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</si>
  <si>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</si>
  <si>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</si>
  <si>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</si>
  <si>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</si>
  <si>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</si>
  <si>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</si>
  <si>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</si>
  <si>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</si>
  <si>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</si>
  <si>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</si>
  <si>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</si>
  <si>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</si>
  <si>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</si>
  <si>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</si>
  <si>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</si>
  <si>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</si>
  <si>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</si>
  <si>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</si>
  <si>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</si>
  <si>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</si>
  <si>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</si>
  <si>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</si>
  <si>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</si>
  <si>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</si>
  <si>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</si>
  <si>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</si>
  <si>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</si>
  <si>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</si>
  <si>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</si>
  <si>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</si>
  <si>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</si>
  <si>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</si>
  <si>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</si>
  <si>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</si>
  <si>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</si>
  <si>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</si>
  <si>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</si>
  <si>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</si>
  <si>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</si>
  <si>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</si>
  <si>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</si>
  <si>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</si>
  <si>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</si>
  <si>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</si>
  <si>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</si>
  <si>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</si>
  <si>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</si>
  <si>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</si>
  <si>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</si>
  <si>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</si>
  <si>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</si>
  <si>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</si>
  <si>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</si>
  <si>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</si>
  <si>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</si>
  <si>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</si>
  <si>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</si>
  <si>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</si>
  <si>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</si>
  <si>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</si>
  <si>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</si>
  <si>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</si>
  <si>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</si>
  <si>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</si>
  <si>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</si>
  <si>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</si>
  <si>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</si>
  <si>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</si>
  <si>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</si>
  <si>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</si>
  <si>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</si>
  <si>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</si>
  <si>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</si>
  <si>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</si>
  <si>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</si>
  <si>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</si>
  <si>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</si>
  <si>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</si>
  <si>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</si>
  <si>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</si>
  <si>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</si>
  <si>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</si>
  <si>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</si>
  <si>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</si>
  <si>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</si>
  <si>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</si>
  <si>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</si>
  <si>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</si>
  <si>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</si>
  <si>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</si>
  <si>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</si>
  <si>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</si>
  <si>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</si>
  <si>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</si>
  <si>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</si>
  <si>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</si>
  <si>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</si>
  <si>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</si>
  <si>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</si>
  <si>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</si>
  <si>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</si>
  <si>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</si>
  <si>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</si>
  <si>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</si>
  <si>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</si>
  <si>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</si>
  <si>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</si>
  <si>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</si>
  <si>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</si>
  <si>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</si>
  <si>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</si>
  <si>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</si>
  <si>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</si>
  <si>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</si>
  <si>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</si>
  <si>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</si>
  <si>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</si>
  <si>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</si>
  <si>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</si>
  <si>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</si>
  <si>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</si>
  <si>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</si>
  <si>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</si>
  <si>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</si>
  <si>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</si>
  <si>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</si>
  <si>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</si>
  <si>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</si>
  <si>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</si>
  <si>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</si>
  <si>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</si>
  <si>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</si>
  <si>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</si>
  <si>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</si>
  <si>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</si>
  <si>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</si>
  <si>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</si>
  <si>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</si>
  <si>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</si>
  <si>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</si>
  <si>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</si>
  <si>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</si>
  <si>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</si>
  <si>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</si>
  <si>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</si>
  <si>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</si>
  <si>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</si>
  <si>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</si>
  <si>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</si>
  <si>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</si>
  <si>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</si>
  <si>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</si>
  <si>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</si>
  <si>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</si>
  <si>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</si>
  <si>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</si>
  <si>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</si>
  <si>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</si>
  <si>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</si>
  <si>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</si>
  <si>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</si>
  <si>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</si>
  <si>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</si>
  <si>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</si>
  <si>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</si>
  <si>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</si>
  <si>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</si>
  <si>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</si>
  <si>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</si>
  <si>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</si>
  <si>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</si>
  <si>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</si>
  <si>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</si>
  <si>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</si>
  <si>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</si>
  <si>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</si>
  <si>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</si>
  <si>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</si>
  <si>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</si>
  <si>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</si>
  <si>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</si>
  <si>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</si>
  <si>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</si>
  <si>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</si>
  <si>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</si>
  <si>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</si>
  <si>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</si>
  <si>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</si>
  <si>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</si>
  <si>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</si>
  <si>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</si>
  <si>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</si>
  <si>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</si>
  <si>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</si>
  <si>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</si>
  <si>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</si>
  <si>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</si>
  <si>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</si>
  <si>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</si>
  <si>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</si>
  <si>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</si>
  <si>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</si>
  <si>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</si>
  <si>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</si>
  <si>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</si>
  <si>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</si>
  <si>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</si>
  <si>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</si>
  <si>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</si>
  <si>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</si>
  <si>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</si>
  <si>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</si>
  <si>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</si>
  <si>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</si>
  <si>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</si>
  <si>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</si>
  <si>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</si>
  <si>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</si>
  <si>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</si>
  <si>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</si>
  <si>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</si>
  <si>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</si>
  <si>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</si>
  <si>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</si>
  <si>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</si>
  <si>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</si>
  <si>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</si>
  <si>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</si>
  <si>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</si>
  <si>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</si>
  <si>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</si>
  <si>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</si>
  <si>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</si>
  <si>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</si>
  <si>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</si>
  <si>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</si>
  <si>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</si>
  <si>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</si>
  <si>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</si>
  <si>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</si>
  <si>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</si>
  <si>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</si>
  <si>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</si>
  <si>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</si>
  <si>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</si>
  <si>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</si>
  <si>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</si>
  <si>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</si>
  <si>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</si>
  <si>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</si>
  <si>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</si>
  <si>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</si>
  <si>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</si>
  <si>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</si>
  <si>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</si>
  <si>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</si>
  <si>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</si>
  <si>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</si>
  <si>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</si>
  <si>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</si>
  <si>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</si>
  <si>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</si>
  <si>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</si>
  <si>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</si>
  <si>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</si>
  <si>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</si>
  <si>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</si>
  <si>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</si>
  <si>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</si>
  <si>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</si>
  <si>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</si>
  <si>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</si>
  <si>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</si>
  <si>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</si>
  <si>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</si>
  <si>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</si>
  <si>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</si>
  <si>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</si>
  <si>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</si>
  <si>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</si>
  <si>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</si>
  <si>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</si>
  <si>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</si>
  <si>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</si>
  <si>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</si>
  <si>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</si>
  <si>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</si>
  <si>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</si>
  <si>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</si>
  <si>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</si>
  <si>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</si>
  <si>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</si>
  <si>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</si>
  <si>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</si>
  <si>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</si>
  <si>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</si>
  <si>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</si>
  <si>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</si>
  <si>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</si>
  <si>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</si>
  <si>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</si>
  <si>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</si>
  <si>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</si>
  <si>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</si>
  <si>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</si>
  <si>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</si>
  <si>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</si>
  <si>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</si>
  <si>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</si>
  <si>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</si>
  <si>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</si>
  <si>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</si>
  <si>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</si>
  <si>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</si>
  <si>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</si>
  <si>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</si>
  <si>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</si>
  <si>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</si>
  <si>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</si>
  <si>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</si>
  <si>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</si>
  <si>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</si>
  <si>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</si>
  <si>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</si>
  <si>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</si>
  <si>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</si>
  <si>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</si>
  <si>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</si>
  <si>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</si>
  <si>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</si>
  <si>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</si>
  <si>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</si>
  <si>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</si>
  <si>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</si>
  <si>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</si>
  <si>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</si>
  <si>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</si>
  <si>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</si>
  <si>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</si>
  <si>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</si>
  <si>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</si>
  <si>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</si>
  <si>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</si>
  <si>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</si>
  <si>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</si>
  <si>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</si>
  <si>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</si>
  <si>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</si>
  <si>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</si>
  <si>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</si>
  <si>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</si>
  <si>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</si>
  <si>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</si>
  <si>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</si>
  <si>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</si>
  <si>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</si>
  <si>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</si>
  <si>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</si>
  <si>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</si>
  <si>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</si>
  <si>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</si>
  <si>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</si>
  <si>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</si>
  <si>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</si>
  <si>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</si>
  <si>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</si>
  <si>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</si>
  <si>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</si>
  <si>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</si>
  <si>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</si>
  <si>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</si>
  <si>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</si>
  <si>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</si>
  <si>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</si>
  <si>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</si>
  <si>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</si>
  <si>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</si>
  <si>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</si>
  <si>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</si>
  <si>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</si>
  <si>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</si>
  <si>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</si>
  <si>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</si>
  <si>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</si>
  <si>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</si>
  <si>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</si>
  <si>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</si>
  <si>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</si>
  <si>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</si>
  <si>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</si>
  <si>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</si>
  <si>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</si>
  <si>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</si>
  <si>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</si>
  <si>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</si>
  <si>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</si>
  <si>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</si>
  <si>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</si>
  <si>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</si>
  <si>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</si>
  <si>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</si>
  <si>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</si>
  <si>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</si>
  <si>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</si>
  <si>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</si>
  <si>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</si>
  <si>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</si>
  <si>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</si>
  <si>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</si>
  <si>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</si>
  <si>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</si>
  <si>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</si>
  <si>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</si>
  <si>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</si>
  <si>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</si>
  <si>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</si>
  <si>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</si>
  <si>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</si>
  <si>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</si>
  <si>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</si>
  <si>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</si>
  <si>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</si>
  <si>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</si>
  <si>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</si>
  <si>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</si>
  <si>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</si>
  <si>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</si>
  <si>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</si>
  <si>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</si>
  <si>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</si>
  <si>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</si>
  <si>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</si>
  <si>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</si>
  <si>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</si>
  <si>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</si>
  <si>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</si>
  <si>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</si>
  <si>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</si>
  <si>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</si>
  <si>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</si>
  <si>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</si>
  <si>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</si>
  <si>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</si>
  <si>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</si>
  <si>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</si>
  <si>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</si>
  <si>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</si>
  <si>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</si>
  <si>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</si>
  <si>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</si>
  <si>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</si>
  <si>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</si>
  <si>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</si>
  <si>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</si>
  <si>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</si>
  <si>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</si>
  <si>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</si>
  <si>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</si>
  <si>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</si>
  <si>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</si>
  <si>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</si>
  <si>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</si>
  <si>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</si>
  <si>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</si>
  <si>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</si>
  <si>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</si>
  <si>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</si>
  <si>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</si>
  <si>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</si>
  <si>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</si>
  <si>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</si>
  <si>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</si>
  <si>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</si>
  <si>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</si>
  <si>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</si>
  <si>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</si>
  <si>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</si>
  <si>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</si>
  <si>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</si>
  <si>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</si>
  <si>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</si>
  <si>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</si>
  <si>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</si>
  <si>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</si>
  <si>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</si>
  <si>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</si>
  <si>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</si>
  <si>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</si>
  <si>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</si>
  <si>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</si>
  <si>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</si>
  <si>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</si>
  <si>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</si>
  <si>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</si>
  <si>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</si>
  <si>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</si>
  <si>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</si>
  <si>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</si>
  <si>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</si>
  <si>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</si>
  <si>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</si>
  <si>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</si>
  <si>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</si>
  <si>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</si>
  <si>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</si>
  <si>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</si>
  <si>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</si>
  <si>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</si>
  <si>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</si>
  <si>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</si>
  <si>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</si>
  <si>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</si>
  <si>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</si>
  <si>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</si>
  <si>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</si>
  <si>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</si>
  <si>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</si>
  <si>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</si>
  <si>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</si>
  <si>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</si>
  <si>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</si>
  <si>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</si>
  <si>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</si>
  <si>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</si>
  <si>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</si>
  <si>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</si>
  <si>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</si>
  <si>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</si>
  <si>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</si>
  <si>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</si>
  <si>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</si>
  <si>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</si>
  <si>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</si>
  <si>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</si>
  <si>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</si>
  <si>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</si>
  <si>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</si>
  <si>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</si>
  <si>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</si>
  <si>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</si>
  <si>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</si>
  <si>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</si>
  <si>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</si>
  <si>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</si>
  <si>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</si>
  <si>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</si>
  <si>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</si>
  <si>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</si>
  <si>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</si>
  <si>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</si>
  <si>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</si>
  <si>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</si>
  <si>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</si>
  <si>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</si>
  <si>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</si>
  <si>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</si>
  <si>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</si>
  <si>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</si>
  <si>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</si>
  <si>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</si>
  <si>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</si>
  <si>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</si>
  <si>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</si>
  <si>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</si>
  <si>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</si>
  <si>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</si>
  <si>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</si>
  <si>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</si>
  <si>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</si>
  <si>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</si>
  <si>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</si>
  <si>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</si>
  <si>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</si>
  <si>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</si>
  <si>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</si>
  <si>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</si>
  <si>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</si>
  <si>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</si>
  <si>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</si>
  <si>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</si>
  <si>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</si>
  <si>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</si>
  <si>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</si>
  <si>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</si>
  <si>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</si>
  <si>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</si>
  <si>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</si>
  <si>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</si>
  <si>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</si>
  <si>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</si>
  <si>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</si>
  <si>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</si>
  <si>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</si>
  <si>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</si>
  <si>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</si>
  <si>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</si>
  <si>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</si>
  <si>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</si>
  <si>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</si>
  <si>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</si>
  <si>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</si>
  <si>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</si>
  <si>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</si>
  <si>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</si>
  <si>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</si>
  <si>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</si>
  <si>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</si>
  <si>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</si>
  <si>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</si>
  <si>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</si>
  <si>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</si>
  <si>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</si>
  <si>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</si>
  <si>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</si>
  <si>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</si>
  <si>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</si>
  <si>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</si>
  <si>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</si>
  <si>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</si>
  <si>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</si>
  <si>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</si>
  <si>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</si>
  <si>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</si>
  <si>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</si>
  <si>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</si>
  <si>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</si>
  <si>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</si>
  <si>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</si>
  <si>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</si>
  <si>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</si>
  <si>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</si>
  <si>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</si>
  <si>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</si>
  <si>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</si>
  <si>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</si>
  <si>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</si>
  <si>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</si>
  <si>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</si>
  <si>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</si>
  <si>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</si>
  <si>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</si>
  <si>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</si>
  <si>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</si>
  <si>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</si>
  <si>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</si>
  <si>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</si>
  <si>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</si>
  <si>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</si>
  <si>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</si>
  <si>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</si>
  <si>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</si>
  <si>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</si>
  <si>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</si>
  <si>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</si>
  <si>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</si>
  <si>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</si>
  <si>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</si>
  <si>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</si>
  <si>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</si>
  <si>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</si>
  <si>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</si>
  <si>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</si>
  <si>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</si>
  <si>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</si>
  <si>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</si>
  <si>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</si>
  <si>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</si>
  <si>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</si>
  <si>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</si>
  <si>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</si>
  <si>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</si>
  <si>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</si>
  <si>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</si>
  <si>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</si>
  <si>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</si>
  <si>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</si>
  <si>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</si>
  <si>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</si>
  <si>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</si>
  <si>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</si>
  <si>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</si>
  <si>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</si>
  <si>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</si>
  <si>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</si>
  <si>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</si>
  <si>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</si>
  <si>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</si>
  <si>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</si>
  <si>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</si>
  <si>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</si>
  <si>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</si>
  <si>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</si>
  <si>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</si>
  <si>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</si>
  <si>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</si>
  <si>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</si>
  <si>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</si>
  <si>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</si>
  <si>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</si>
  <si>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</si>
  <si>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</si>
  <si>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</si>
  <si>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</si>
  <si>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</si>
  <si>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</si>
  <si>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</si>
  <si>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</si>
  <si>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</si>
  <si>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</si>
  <si>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</si>
  <si>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</si>
  <si>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</si>
  <si>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</si>
  <si>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</si>
  <si>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</si>
  <si>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</si>
  <si>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</si>
  <si>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</si>
  <si>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Bridgelux, Inc.</t>
  </si>
  <si>
    <t>148284057</t>
  </si>
  <si>
    <t>DUNS</t>
  </si>
  <si>
    <t>46430 Fremont Boulevard, Fremont, California 94538 USA</t>
  </si>
  <si>
    <t>Vivek Chidambaram</t>
  </si>
  <si>
    <t>vivekchidambaram@bridgelux.com</t>
  </si>
  <si>
    <t>925-583-8522</t>
  </si>
  <si>
    <t>Dr. Frank Hu</t>
  </si>
  <si>
    <t>Sr. Vice President, Global Quality</t>
  </si>
  <si>
    <t>frankhu@bridgelux.com</t>
  </si>
  <si>
    <t>925-583-8510</t>
  </si>
  <si>
    <t>http://www.bridgelux.com/sites/default/files/Bridgelux_-Inc_Purchase_Order_PO_Terms_and_Conditions-7.31.2013-Final.pdf</t>
  </si>
  <si>
    <t>Established requirements. As needed, communicate with the suppliers, review supplier responses and take action when necessary.</t>
  </si>
  <si>
    <t>Company-wide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</si>
</sst>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 #,##0_-;\-&quot;€&quot;\ * #,##0_-;_-&quot;€&quot;\ * &quot;-&quot;_-;_-@_-"/>
    <numFmt numFmtId="165" formatCode="_-* #,##0_-;\-* #,##0_-;_-* &quot;-&quot;_-;_-@_-"/>
    <numFmt numFmtId="166" formatCode="_-&quot;€&quot;\ * #,##0.00_-;\-&quot;€&quot;\ * #,##0.00_-;_-&quot;€&quot;\ * &quot;-&quot;??_-;_-@_-"/>
    <numFmt numFmtId="167" formatCode="_-* #,##0.00_-;\-* #,##0.00_-;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vivekchidambaram@bridgelux.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bridgelux.com/sites/default/files/Bridgelux_-Inc_Purchase_Order_PO_Terms_and_Conditions-7.31.2013-Final.pdf" TargetMode="External"/><Relationship Id="rId4" Type="http://schemas.openxmlformats.org/officeDocument/2006/relationships/hyperlink" Target="mailto:frankhu@bridgelux.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63"/>
      <c r="B2" s="38" t="s">
        <v>870</v>
      </c>
      <c r="C2" s="36"/>
      <c r="D2" s="208"/>
      <c r="E2" s="3"/>
      <c r="F2" s="36"/>
      <c r="G2" s="34"/>
    </row>
    <row r="3" spans="1:7">
      <c r="A3" s="363"/>
      <c r="B3" s="5" t="s">
        <v>862</v>
      </c>
      <c r="C3" s="6"/>
      <c r="D3" s="209"/>
      <c r="E3" s="3"/>
      <c r="F3" s="6"/>
      <c r="G3" s="34"/>
    </row>
    <row r="4" spans="1:7" ht="15.75">
      <c r="A4" s="363"/>
      <c r="B4" s="41" t="s">
        <v>872</v>
      </c>
      <c r="C4" s="7"/>
      <c r="D4" s="210"/>
      <c r="E4" s="3"/>
      <c r="F4" s="7"/>
      <c r="G4" s="34"/>
    </row>
    <row r="5" spans="1:7">
      <c r="A5" s="363"/>
      <c r="B5" s="40" t="s">
        <v>1063</v>
      </c>
      <c r="C5" s="4"/>
      <c r="D5" s="211"/>
      <c r="E5" s="3"/>
      <c r="F5" s="4"/>
      <c r="G5" s="34"/>
    </row>
    <row r="6" spans="1:7">
      <c r="A6" s="363"/>
      <c r="B6" s="8"/>
      <c r="C6" s="8"/>
      <c r="D6" s="212"/>
      <c r="E6" s="8"/>
      <c r="F6" s="8"/>
      <c r="G6" s="34"/>
    </row>
    <row r="7" spans="1:7">
      <c r="A7" s="363"/>
      <c r="B7" s="8"/>
      <c r="C7" s="8"/>
      <c r="D7" s="212"/>
      <c r="E7" s="8"/>
      <c r="F7" s="8"/>
      <c r="G7" s="34"/>
    </row>
    <row r="8" spans="1:7">
      <c r="A8" s="363"/>
      <c r="B8" s="8"/>
      <c r="C8" s="8"/>
      <c r="D8" s="212"/>
      <c r="E8" s="8"/>
      <c r="F8" s="8"/>
      <c r="G8" s="34"/>
    </row>
    <row r="9" spans="1:7">
      <c r="A9" s="363"/>
      <c r="B9" s="366" t="s">
        <v>873</v>
      </c>
      <c r="C9" s="366"/>
      <c r="D9" s="366"/>
      <c r="E9" s="366"/>
      <c r="F9" s="366"/>
      <c r="G9" s="34"/>
    </row>
    <row r="10" spans="1:7" ht="27" customHeight="1">
      <c r="A10" s="363"/>
      <c r="B10" s="367" t="s">
        <v>448</v>
      </c>
      <c r="C10" s="367"/>
      <c r="D10" s="367"/>
      <c r="E10" s="367"/>
      <c r="F10" s="367"/>
      <c r="G10" s="34"/>
    </row>
    <row r="11" spans="1:7" ht="27" customHeight="1">
      <c r="A11" s="363"/>
      <c r="B11" s="368"/>
      <c r="C11" s="368"/>
      <c r="D11" s="368"/>
      <c r="E11" s="368"/>
      <c r="F11" s="368"/>
      <c r="G11" s="34"/>
    </row>
    <row r="12" spans="1:7">
      <c r="A12" s="363"/>
      <c r="B12" s="42" t="s">
        <v>871</v>
      </c>
      <c r="C12" s="43" t="s">
        <v>874</v>
      </c>
      <c r="D12" s="213" t="s">
        <v>875</v>
      </c>
      <c r="E12" s="43" t="s">
        <v>628</v>
      </c>
      <c r="F12" s="43" t="s">
        <v>629</v>
      </c>
      <c r="G12" s="34"/>
    </row>
    <row r="13" spans="1:7" ht="33.75">
      <c r="A13" s="363"/>
      <c r="B13" s="2">
        <v>1</v>
      </c>
      <c r="C13" s="37" t="s">
        <v>1111</v>
      </c>
      <c r="D13" s="39" t="s">
        <v>899</v>
      </c>
      <c r="E13" s="196" t="s">
        <v>876</v>
      </c>
      <c r="F13" s="196"/>
      <c r="G13" s="34"/>
    </row>
    <row r="14" spans="1:7" ht="33.75">
      <c r="A14" s="363"/>
      <c r="B14" s="2">
        <v>2</v>
      </c>
      <c r="C14" s="37" t="s">
        <v>1111</v>
      </c>
      <c r="D14" s="39" t="s">
        <v>1048</v>
      </c>
      <c r="E14" s="196" t="s">
        <v>540</v>
      </c>
      <c r="F14" s="196" t="s">
        <v>541</v>
      </c>
      <c r="G14" s="34"/>
    </row>
    <row r="15" spans="1:7" ht="89.1" customHeight="1">
      <c r="A15" s="363"/>
      <c r="B15" s="348">
        <v>2.0099999999999998</v>
      </c>
      <c r="C15" s="360" t="s">
        <v>1111</v>
      </c>
      <c r="D15" s="369" t="s">
        <v>2358</v>
      </c>
      <c r="E15" s="197" t="s">
        <v>630</v>
      </c>
      <c r="F15" s="197" t="s">
        <v>633</v>
      </c>
      <c r="G15" s="34"/>
    </row>
    <row r="16" spans="1:7" ht="99" customHeight="1">
      <c r="A16" s="363"/>
      <c r="B16" s="349"/>
      <c r="C16" s="361"/>
      <c r="D16" s="370"/>
      <c r="E16" s="198"/>
      <c r="F16" s="198" t="s">
        <v>631</v>
      </c>
      <c r="G16" s="34"/>
    </row>
    <row r="17" spans="1:7" ht="63" customHeight="1">
      <c r="A17" s="363"/>
      <c r="B17" s="350"/>
      <c r="C17" s="362"/>
      <c r="D17" s="371"/>
      <c r="E17" s="37"/>
      <c r="F17" s="37" t="s">
        <v>632</v>
      </c>
      <c r="G17" s="34"/>
    </row>
    <row r="18" spans="1:7" ht="117" customHeight="1">
      <c r="A18" s="363"/>
      <c r="B18" s="348">
        <v>2.02</v>
      </c>
      <c r="C18" s="360" t="s">
        <v>1111</v>
      </c>
      <c r="D18" s="369" t="s">
        <v>2359</v>
      </c>
      <c r="E18" s="197" t="s">
        <v>449</v>
      </c>
      <c r="F18" s="197" t="s">
        <v>535</v>
      </c>
      <c r="G18" s="34"/>
    </row>
    <row r="19" spans="1:7" ht="71.099999999999994" customHeight="1">
      <c r="A19" s="363"/>
      <c r="B19" s="349"/>
      <c r="C19" s="361"/>
      <c r="D19" s="370"/>
      <c r="E19" s="198" t="s">
        <v>539</v>
      </c>
      <c r="F19" s="198" t="s">
        <v>450</v>
      </c>
      <c r="G19" s="34"/>
    </row>
    <row r="20" spans="1:7" ht="90.75" customHeight="1">
      <c r="A20" s="363"/>
      <c r="B20" s="349"/>
      <c r="C20" s="361"/>
      <c r="D20" s="370"/>
      <c r="E20" s="198"/>
      <c r="F20" s="198" t="s">
        <v>635</v>
      </c>
      <c r="G20" s="34"/>
    </row>
    <row r="21" spans="1:7" ht="74.25" customHeight="1">
      <c r="A21" s="363"/>
      <c r="B21" s="350"/>
      <c r="C21" s="362"/>
      <c r="D21" s="371"/>
      <c r="E21" s="37"/>
      <c r="F21" s="37" t="s">
        <v>634</v>
      </c>
      <c r="G21" s="34"/>
    </row>
    <row r="22" spans="1:7" ht="90" customHeight="1">
      <c r="A22" s="363"/>
      <c r="B22" s="354">
        <v>2.0299999999999998</v>
      </c>
      <c r="C22" s="354" t="s">
        <v>845</v>
      </c>
      <c r="D22" s="357" t="s">
        <v>2360</v>
      </c>
      <c r="E22" s="360" t="s">
        <v>447</v>
      </c>
      <c r="F22" s="197" t="s">
        <v>470</v>
      </c>
      <c r="G22" s="34"/>
    </row>
    <row r="23" spans="1:7" ht="109.5" customHeight="1">
      <c r="A23" s="363"/>
      <c r="B23" s="355"/>
      <c r="C23" s="355"/>
      <c r="D23" s="358"/>
      <c r="E23" s="361"/>
      <c r="F23" s="198" t="s">
        <v>846</v>
      </c>
      <c r="G23" s="34"/>
    </row>
    <row r="24" spans="1:7" ht="74.25" customHeight="1">
      <c r="A24" s="363"/>
      <c r="B24" s="356"/>
      <c r="C24" s="356"/>
      <c r="D24" s="359"/>
      <c r="E24" s="362"/>
      <c r="F24" s="37" t="s">
        <v>446</v>
      </c>
      <c r="G24" s="34"/>
    </row>
    <row r="25" spans="1:7" ht="72" customHeight="1">
      <c r="A25" s="363"/>
      <c r="B25" s="2" t="s">
        <v>468</v>
      </c>
      <c r="C25" s="37" t="s">
        <v>469</v>
      </c>
      <c r="D25" s="39" t="s">
        <v>2361</v>
      </c>
      <c r="E25" s="37" t="s">
        <v>2356</v>
      </c>
      <c r="F25" s="37" t="s">
        <v>471</v>
      </c>
      <c r="G25" s="34"/>
    </row>
    <row r="26" spans="1:7" ht="98.1" customHeight="1">
      <c r="A26" s="363"/>
      <c r="B26" s="351">
        <v>3</v>
      </c>
      <c r="C26" s="348" t="s">
        <v>72</v>
      </c>
      <c r="D26" s="369" t="s">
        <v>2362</v>
      </c>
      <c r="E26" s="360" t="s">
        <v>0</v>
      </c>
      <c r="F26" s="197" t="s">
        <v>66</v>
      </c>
      <c r="G26" s="34"/>
    </row>
    <row r="27" spans="1:7" ht="90" customHeight="1">
      <c r="A27" s="363"/>
      <c r="B27" s="352"/>
      <c r="C27" s="349"/>
      <c r="D27" s="370"/>
      <c r="E27" s="361"/>
      <c r="F27" s="198" t="s">
        <v>61</v>
      </c>
      <c r="G27" s="34"/>
    </row>
    <row r="28" spans="1:7" ht="19.350000000000001" customHeight="1">
      <c r="A28" s="363"/>
      <c r="B28" s="352"/>
      <c r="C28" s="349"/>
      <c r="D28" s="370"/>
      <c r="E28" s="361"/>
      <c r="F28" s="198" t="s">
        <v>62</v>
      </c>
      <c r="G28" s="34"/>
    </row>
    <row r="29" spans="1:7" ht="74.45" customHeight="1">
      <c r="A29" s="363"/>
      <c r="B29" s="352"/>
      <c r="C29" s="349"/>
      <c r="D29" s="370"/>
      <c r="E29" s="361"/>
      <c r="F29" s="198" t="s">
        <v>63</v>
      </c>
      <c r="G29" s="34"/>
    </row>
    <row r="30" spans="1:7" ht="62.45" customHeight="1">
      <c r="A30" s="363"/>
      <c r="B30" s="352"/>
      <c r="C30" s="349"/>
      <c r="D30" s="370"/>
      <c r="E30" s="361"/>
      <c r="F30" s="198" t="s">
        <v>64</v>
      </c>
      <c r="G30" s="34"/>
    </row>
    <row r="31" spans="1:7" ht="81" customHeight="1">
      <c r="A31" s="363"/>
      <c r="B31" s="352"/>
      <c r="C31" s="349"/>
      <c r="D31" s="370"/>
      <c r="E31" s="361"/>
      <c r="F31" s="198" t="s">
        <v>65</v>
      </c>
      <c r="G31" s="34"/>
    </row>
    <row r="32" spans="1:7" ht="48.75" customHeight="1">
      <c r="A32" s="363"/>
      <c r="B32" s="352"/>
      <c r="C32" s="349"/>
      <c r="D32" s="370"/>
      <c r="E32" s="361"/>
      <c r="F32" s="198" t="s">
        <v>68</v>
      </c>
      <c r="G32" s="34"/>
    </row>
    <row r="33" spans="1:7" ht="98.45" customHeight="1">
      <c r="A33" s="363"/>
      <c r="B33" s="352"/>
      <c r="C33" s="349"/>
      <c r="D33" s="370"/>
      <c r="E33" s="361"/>
      <c r="F33" s="198" t="s">
        <v>67</v>
      </c>
      <c r="G33" s="34"/>
    </row>
    <row r="34" spans="1:7" ht="89.1" customHeight="1">
      <c r="A34" s="363"/>
      <c r="B34" s="352"/>
      <c r="C34" s="349"/>
      <c r="D34" s="370"/>
      <c r="E34" s="361"/>
      <c r="F34" s="198" t="s">
        <v>69</v>
      </c>
      <c r="G34" s="34"/>
    </row>
    <row r="35" spans="1:7" ht="29.1" customHeight="1">
      <c r="A35" s="363"/>
      <c r="B35" s="352"/>
      <c r="C35" s="349"/>
      <c r="D35" s="370"/>
      <c r="E35" s="361"/>
      <c r="F35" s="198" t="s">
        <v>70</v>
      </c>
      <c r="G35" s="34"/>
    </row>
    <row r="36" spans="1:7" ht="126.75">
      <c r="A36" s="363"/>
      <c r="B36" s="353"/>
      <c r="C36" s="350"/>
      <c r="D36" s="371"/>
      <c r="E36" s="362"/>
      <c r="F36" s="199" t="s">
        <v>71</v>
      </c>
      <c r="G36" s="34"/>
    </row>
    <row r="37" spans="1:7" ht="112.5">
      <c r="A37" s="363"/>
      <c r="B37" s="171">
        <v>3.01</v>
      </c>
      <c r="C37" s="172" t="s">
        <v>72</v>
      </c>
      <c r="D37" s="39" t="s">
        <v>2363</v>
      </c>
      <c r="E37" s="200" t="s">
        <v>1351</v>
      </c>
      <c r="F37" s="201" t="s">
        <v>1457</v>
      </c>
      <c r="G37" s="34"/>
    </row>
    <row r="38" spans="1:7" ht="101.25">
      <c r="A38" s="363"/>
      <c r="B38" s="171">
        <v>3.02</v>
      </c>
      <c r="C38" s="172" t="s">
        <v>1384</v>
      </c>
      <c r="D38" s="39" t="s">
        <v>2364</v>
      </c>
      <c r="E38" s="200" t="s">
        <v>1399</v>
      </c>
      <c r="F38" s="201" t="s">
        <v>1458</v>
      </c>
      <c r="G38" s="34"/>
    </row>
    <row r="39" spans="1:7" ht="101.25">
      <c r="A39" s="363"/>
      <c r="B39" s="182">
        <v>4</v>
      </c>
      <c r="C39" s="181" t="s">
        <v>1554</v>
      </c>
      <c r="D39" s="39" t="s">
        <v>2365</v>
      </c>
      <c r="E39" s="37" t="s">
        <v>2307</v>
      </c>
      <c r="F39" s="37" t="s">
        <v>1555</v>
      </c>
      <c r="G39" s="34"/>
    </row>
    <row r="40" spans="1:7" ht="56.25">
      <c r="A40" s="363"/>
      <c r="B40" s="171">
        <v>4.01</v>
      </c>
      <c r="C40" s="181" t="s">
        <v>1554</v>
      </c>
      <c r="D40" s="39" t="s">
        <v>2367</v>
      </c>
      <c r="E40" s="37" t="s">
        <v>2321</v>
      </c>
      <c r="F40" s="37" t="s">
        <v>2326</v>
      </c>
      <c r="G40" s="34"/>
    </row>
    <row r="41" spans="1:7" ht="56.25">
      <c r="A41" s="363"/>
      <c r="B41" s="171" t="s">
        <v>2354</v>
      </c>
      <c r="C41" s="181" t="s">
        <v>1554</v>
      </c>
      <c r="D41" s="39" t="s">
        <v>2366</v>
      </c>
      <c r="E41" s="37" t="s">
        <v>2357</v>
      </c>
      <c r="F41" s="37" t="s">
        <v>2355</v>
      </c>
      <c r="G41" s="34"/>
    </row>
    <row r="42" spans="1:7" ht="56.25">
      <c r="A42" s="363"/>
      <c r="B42" s="171" t="s">
        <v>2399</v>
      </c>
      <c r="C42" s="181" t="s">
        <v>1554</v>
      </c>
      <c r="D42" s="39" t="s">
        <v>2406</v>
      </c>
      <c r="E42" s="37" t="s">
        <v>2356</v>
      </c>
      <c r="F42" s="37" t="s">
        <v>2400</v>
      </c>
      <c r="G42" s="34"/>
    </row>
    <row r="43" spans="1:7" ht="123.75">
      <c r="A43" s="363"/>
      <c r="B43" s="193">
        <v>4.0999999999999996</v>
      </c>
      <c r="C43" s="181" t="s">
        <v>2405</v>
      </c>
      <c r="D43" s="194">
        <v>42867</v>
      </c>
      <c r="E43" s="202" t="s">
        <v>2408</v>
      </c>
      <c r="F43" s="37" t="s">
        <v>2407</v>
      </c>
      <c r="G43" s="34"/>
    </row>
    <row r="44" spans="1:7" ht="78.75">
      <c r="A44" s="363"/>
      <c r="B44" s="193">
        <v>4.2</v>
      </c>
      <c r="C44" s="181" t="s">
        <v>2405</v>
      </c>
      <c r="D44" s="194">
        <v>42704</v>
      </c>
      <c r="E44" s="202" t="s">
        <v>2625</v>
      </c>
      <c r="F44" s="37" t="s">
        <v>2598</v>
      </c>
      <c r="G44" s="34"/>
    </row>
    <row r="45" spans="1:7" ht="157.5">
      <c r="A45" s="363"/>
      <c r="B45" s="243">
        <v>5</v>
      </c>
      <c r="C45" s="181" t="s">
        <v>2405</v>
      </c>
      <c r="D45" s="194">
        <v>42867</v>
      </c>
      <c r="E45" s="202" t="s">
        <v>13032</v>
      </c>
      <c r="F45" s="37" t="s">
        <v>12754</v>
      </c>
      <c r="G45" s="34"/>
    </row>
    <row r="46" spans="1:7" ht="45">
      <c r="A46" s="363"/>
      <c r="B46" s="193">
        <v>5.01</v>
      </c>
      <c r="C46" s="181" t="s">
        <v>2405</v>
      </c>
      <c r="D46" s="194">
        <v>42907</v>
      </c>
      <c r="E46" s="202" t="s">
        <v>13052</v>
      </c>
      <c r="F46" s="37" t="s">
        <v>12754</v>
      </c>
      <c r="G46" s="34"/>
    </row>
    <row r="47" spans="1:7" ht="67.5">
      <c r="A47" s="363"/>
      <c r="B47" s="193">
        <v>5.0999999999999996</v>
      </c>
      <c r="C47" s="181" t="s">
        <v>2405</v>
      </c>
      <c r="D47" s="194">
        <v>43070</v>
      </c>
      <c r="E47" s="202" t="s">
        <v>13247</v>
      </c>
      <c r="F47" s="37" t="s">
        <v>13248</v>
      </c>
      <c r="G47" s="34"/>
    </row>
    <row r="48" spans="1:7" ht="56.25">
      <c r="A48" s="363"/>
      <c r="B48" s="193">
        <v>5.1100000000000003</v>
      </c>
      <c r="C48" s="181" t="s">
        <v>13489</v>
      </c>
      <c r="D48" s="194">
        <v>43217</v>
      </c>
      <c r="E48" s="202" t="s">
        <v>13617</v>
      </c>
      <c r="F48" s="37" t="s">
        <v>13523</v>
      </c>
      <c r="G48" s="34"/>
    </row>
    <row r="49" spans="1:7" ht="56.25">
      <c r="A49" s="363"/>
      <c r="B49" s="193">
        <v>5.12</v>
      </c>
      <c r="C49" s="181" t="s">
        <v>13489</v>
      </c>
      <c r="D49" s="194">
        <v>43581</v>
      </c>
      <c r="E49" s="202" t="s">
        <v>13617</v>
      </c>
      <c r="F49" s="37" t="s">
        <v>14191</v>
      </c>
      <c r="G49" s="34"/>
    </row>
    <row r="50" spans="1:7" ht="78.75">
      <c r="A50" s="363"/>
      <c r="B50" s="243">
        <v>6</v>
      </c>
      <c r="C50" s="181" t="s">
        <v>13489</v>
      </c>
      <c r="D50" s="194">
        <v>43964</v>
      </c>
      <c r="E50" s="202" t="s">
        <v>14433</v>
      </c>
      <c r="F50" s="37" t="s">
        <v>14204</v>
      </c>
      <c r="G50" s="34"/>
    </row>
    <row r="51" spans="1:7" ht="45">
      <c r="A51" s="363"/>
      <c r="B51" s="193">
        <v>6.01</v>
      </c>
      <c r="C51" s="181" t="s">
        <v>13489</v>
      </c>
      <c r="D51" s="194">
        <v>43970</v>
      </c>
      <c r="E51" s="202" t="s">
        <v>15503</v>
      </c>
      <c r="F51" s="202" t="s">
        <v>14204</v>
      </c>
      <c r="G51" s="34"/>
    </row>
    <row r="52" spans="1:7" ht="13.5" thickBot="1">
      <c r="A52" s="364"/>
      <c r="B52" s="365" t="str">
        <f ca="1">OFFSET(L!$C$1,MATCH("General"&amp;"Cpy",L!$A:$A,0)-1,SL,,)</f>
        <v>© 2020 Responsible Minerals Initiative. All rights reserved.</v>
      </c>
      <c r="C52" s="365"/>
      <c r="D52" s="365"/>
      <c r="E52" s="365"/>
      <c r="F52" s="365"/>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8"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4"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35" zoomScalePageLayoutView="70" workbookViewId="0">
      <selection activeCell="D46" sqref="D46:E4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15506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504</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v>
      </c>
      <c r="C10" s="151"/>
      <c r="D10" s="419" t="s">
        <v>15519</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15507</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15508</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15509</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15510</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15511</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15512</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15513</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15514</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15515</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15516</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44032</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8" t="s">
        <v>499</v>
      </c>
      <c r="E26" s="379"/>
      <c r="F26" s="15"/>
      <c r="G26" s="380"/>
      <c r="H26" s="381"/>
      <c r="I26" s="381"/>
      <c r="J26" s="382"/>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8" t="s">
        <v>499</v>
      </c>
      <c r="E29" s="379"/>
      <c r="F29" s="15"/>
      <c r="G29" s="380"/>
      <c r="H29" s="381"/>
      <c r="I29" s="381"/>
      <c r="J29" s="382"/>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6"/>
      <c r="E32" s="397"/>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8"/>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8"/>
      <c r="E38" s="379"/>
      <c r="F38" s="58"/>
      <c r="G38" s="380"/>
      <c r="H38" s="381"/>
      <c r="I38" s="381"/>
      <c r="J38" s="382"/>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8" t="s">
        <v>500</v>
      </c>
      <c r="E39" s="379"/>
      <c r="F39" s="58"/>
      <c r="G39" s="380"/>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8" t="s">
        <v>500</v>
      </c>
      <c r="E40" s="379"/>
      <c r="F40" s="58"/>
      <c r="G40" s="380"/>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8"/>
      <c r="E41" s="379"/>
      <c r="F41" s="58"/>
      <c r="G41" s="380"/>
      <c r="H41" s="381"/>
      <c r="I41" s="381"/>
      <c r="J41" s="382"/>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8"/>
      <c r="E44" s="379"/>
      <c r="F44" s="58"/>
      <c r="G44" s="380"/>
      <c r="H44" s="381"/>
      <c r="I44" s="381"/>
      <c r="J44" s="382"/>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8"/>
      <c r="E47" s="379"/>
      <c r="F47" s="58"/>
      <c r="G47" s="380"/>
      <c r="H47" s="381"/>
      <c r="I47" s="381"/>
      <c r="J47" s="382"/>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8"/>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8"/>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99"/>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v>1</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v>1</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99"/>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6"/>
      <c r="E62" s="397"/>
      <c r="F62" s="58"/>
      <c r="G62" s="380"/>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8" t="s">
        <v>499</v>
      </c>
      <c r="E63" s="379"/>
      <c r="F63" s="58"/>
      <c r="G63" s="380"/>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78" t="s">
        <v>499</v>
      </c>
      <c r="E64" s="379"/>
      <c r="F64" s="58"/>
      <c r="G64" s="380"/>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8"/>
      <c r="E65" s="379"/>
      <c r="F65" s="58"/>
      <c r="G65" s="380"/>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8"/>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8"/>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15517</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t="s">
        <v>15518</v>
      </c>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D16" r:id="rId3" xr:uid="{421544EE-F8E5-4C47-A6E8-21A41646257C}"/>
    <hyperlink ref="D20" r:id="rId4" xr:uid="{725D4627-01BC-49C1-A092-FE7715AA8A32}"/>
    <hyperlink ref="G77" r:id="rId5" xr:uid="{BCBE7B7B-6246-40D9-A34D-E5949AC8D53E}"/>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9" activePane="bottomLeft" state="frozen"/>
      <selection pane="bottomLeft" activeCell="B11" sqref="B11"/>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750</v>
      </c>
      <c r="B5" s="217" t="str">
        <f ca="1">IF(LEN(A5)=0,"",INDEX('Smelter Look-up'!$A:$A,MATCH($A5,'Smelter Look-up'!$E:$E,0)))</f>
        <v>Gold</v>
      </c>
      <c r="C5" s="221" t="str">
        <f ca="1">IF(LEN(A5)=0,"",INDEX('Smelter Look-up'!$C:$C,MATCH($A5,'Smelter Look-up'!$E:$E,0)))</f>
        <v>The Refinery of Shandong Gold Mining Co., Ltd.</v>
      </c>
      <c r="D5" s="283"/>
      <c r="E5" s="217" t="str">
        <f ca="1">IF(ISERROR($V5),"",OFFSET('Smelter Look-up'!$D$4,$V5-4,0)&amp;"")</f>
        <v>CHINA</v>
      </c>
      <c r="F5" s="217" t="str">
        <f ca="1">IF(ISERROR($V5),"",OFFSET('Smelter Look-up'!$E$4,$V5-4,0))</f>
        <v>CID001916</v>
      </c>
      <c r="G5" s="217" t="str">
        <f ca="1">IF(C5=$X$4,"Enter smelter details",IF(ISERROR($V5),"",OFFSET('Smelter Look-up'!$F$4,$V5-4,0)))</f>
        <v>RMI</v>
      </c>
      <c r="H5" s="218">
        <f ca="1">IF(ISERROR($V5),"",OFFSET('Smelter Look-up'!$G$4,$V5-4,0))</f>
        <v>0</v>
      </c>
      <c r="I5" s="219" t="str">
        <f ca="1">IF(ISERROR($V5),"",OFFSET('Smelter Look-up'!$H$4,$V5-4,0))</f>
        <v>Laizhou</v>
      </c>
      <c r="J5" s="219" t="str">
        <f ca="1">IF(ISERROR($V5),"",OFFSET('Smelter Look-up'!$I$4,$V5-4,0))</f>
        <v>Shandong Sheng</v>
      </c>
      <c r="K5" s="273"/>
      <c r="L5" s="273"/>
      <c r="M5" s="273"/>
      <c r="N5" s="273"/>
      <c r="O5" s="273"/>
      <c r="P5" s="220"/>
      <c r="Q5" s="274"/>
      <c r="R5" s="217" t="str">
        <f ca="1">IF(ISERROR($V5),"",OFFSET('Smelter Look-up'!$C$4,$V5-4,0)&amp;"")</f>
        <v>The Refinery of Shandong Gold Mining Co., Ltd.</v>
      </c>
      <c r="S5" s="225" t="str">
        <f t="shared" ref="S5" ca="1" si="0">IF(B5="","",IF(ISERROR(MATCH($E5,CL,0)),"Unknown",INDIRECT("'C'!$A$"&amp;MATCH($E5,CL,0)+1)))</f>
        <v>CN</v>
      </c>
      <c r="T5" s="225" t="str">
        <f ca="1">IF(B5="","",IF(ISERROR(MATCH($J5,SorP!$B$1:$B$6230,0)),"",INDIRECT("'SorP'!$A$"&amp;MATCH($J5,SorP!$B$1:$B$6230,0))))</f>
        <v>CN-SD</v>
      </c>
      <c r="U5" s="241"/>
      <c r="V5" s="275">
        <f ca="1">IF(C5="",NA(),MATCH($B5&amp;$C5,'Smelter Look-up'!$J:$J,0))</f>
        <v>256</v>
      </c>
      <c r="W5" s="276"/>
      <c r="X5" s="276">
        <f t="shared" ref="X5" ca="1" si="1">IF(AND(C5="Smelter not listed",OR(LEN(D5)=0,LEN(E5)=0)),1,0)</f>
        <v>0</v>
      </c>
      <c r="Y5" s="276"/>
      <c r="Z5" s="276"/>
      <c r="AB5" s="278" t="str">
        <f t="shared" ref="AB5" ca="1" si="2">B5&amp;C5</f>
        <v>GoldThe Refinery of Shandong Gold Mining Co., Ltd.</v>
      </c>
    </row>
    <row r="6" spans="1:34" s="277" customFormat="1" ht="20.100000000000001" customHeight="1">
      <c r="A6" s="332" t="s">
        <v>744</v>
      </c>
      <c r="B6" s="217" t="str">
        <f ca="1">IF(LEN(A6)=0,"",INDEX('Smelter Look-up'!$A:$A,MATCH($A6,'Smelter Look-up'!$E:$E,0)))</f>
        <v>Gold</v>
      </c>
      <c r="C6" s="221" t="str">
        <f ca="1">IF(LEN(A6)=0,"",INDEX('Smelter Look-up'!$C:$C,MATCH($A6,'Smelter Look-up'!$E:$E,0)))</f>
        <v>Shandong Zhaojin Gold &amp; Silver Refinery Co., Ltd.</v>
      </c>
      <c r="D6" s="283"/>
      <c r="E6" s="217" t="str">
        <f ca="1">IF(ISERROR($V6),"",OFFSET('Smelter Look-up'!$D$4,$V6-4,0)&amp;"")</f>
        <v>CHINA</v>
      </c>
      <c r="F6" s="217" t="str">
        <f ca="1">IF(ISERROR($V6),"",OFFSET('Smelter Look-up'!$E$4,$V6-4,0))</f>
        <v>CID001622</v>
      </c>
      <c r="G6" s="217" t="str">
        <f ca="1">IF(C6=$X$4,"Enter smelter details",IF(ISERROR($V6),"",OFFSET('Smelter Look-up'!$F$4,$V6-4,0)))</f>
        <v>RMI</v>
      </c>
      <c r="H6" s="218">
        <f ca="1">IF(ISERROR($V6),"",OFFSET('Smelter Look-up'!$G$4,$V6-4,0))</f>
        <v>0</v>
      </c>
      <c r="I6" s="219" t="str">
        <f ca="1">IF(ISERROR($V6),"",OFFSET('Smelter Look-up'!$H$4,$V6-4,0))</f>
        <v>Zhaoyuan</v>
      </c>
      <c r="J6" s="219" t="str">
        <f ca="1">IF(ISERROR($V6),"",OFFSET('Smelter Look-up'!$I$4,$V6-4,0))</f>
        <v>Shandong Sheng</v>
      </c>
      <c r="K6" s="273"/>
      <c r="L6" s="273"/>
      <c r="M6" s="273"/>
      <c r="N6" s="273"/>
      <c r="O6" s="273"/>
      <c r="P6" s="220"/>
      <c r="Q6" s="274"/>
      <c r="R6" s="217" t="str">
        <f ca="1">IF(ISERROR($V6),"",OFFSET('Smelter Look-up'!$C$4,$V6-4,0)&amp;"")</f>
        <v>Shandong Zhaojin Gold &amp; Silver Refinery Co., Ltd.</v>
      </c>
      <c r="S6" s="225" t="str">
        <f t="shared" ref="S6:S37" ca="1" si="3">IF(B6="","",IF(ISERROR(MATCH($E6,CL,0)),"Unknown",INDIRECT("'C'!$A$"&amp;MATCH($E6,CL,0)+1)))</f>
        <v>CN</v>
      </c>
      <c r="T6" s="225" t="str">
        <f ca="1">IF(B6="","",IF(ISERROR(MATCH($J6,SorP!$B$1:$B$6230,0)),"",INDIRECT("'SorP'!$A$"&amp;MATCH($J6,SorP!$B$1:$B$6230,0))))</f>
        <v>CN-SD</v>
      </c>
      <c r="U6" s="241"/>
      <c r="V6" s="275">
        <f ca="1">IF(C6="",NA(),MATCH($B6&amp;$C6,'Smelter Look-up'!$J:$J,0))</f>
        <v>223</v>
      </c>
      <c r="W6" s="276"/>
      <c r="X6" s="276">
        <f t="shared" ref="X6:X37" ca="1" si="4">IF(AND(C6="Smelter not listed",OR(LEN(D6)=0,LEN(E6)=0)),1,0)</f>
        <v>0</v>
      </c>
      <c r="Y6" s="276"/>
      <c r="Z6" s="276"/>
      <c r="AB6" s="278" t="str">
        <f t="shared" ref="AB6:AB37" ca="1" si="5">B6&amp;C6</f>
        <v>GoldShandong Zhaojin Gold &amp; Silver Refinery Co., Ltd.</v>
      </c>
    </row>
    <row r="7" spans="1:34" s="277" customFormat="1" ht="20.100000000000001" customHeight="1">
      <c r="A7" s="332" t="s">
        <v>808</v>
      </c>
      <c r="B7" s="217" t="str">
        <f ca="1">IF(LEN(A7)=0,"",INDEX('Smelter Look-up'!$A:$A,MATCH($A7,'Smelter Look-up'!$E:$E,0)))</f>
        <v>Tin</v>
      </c>
      <c r="C7" s="221" t="str">
        <f ca="1">IF(LEN(A7)=0,"",INDEX('Smelter Look-up'!$C:$C,MATCH($A7,'Smelter Look-up'!$E:$E,0)))</f>
        <v>Yunnan Chengfeng Non-ferrous Metals Co., Ltd.</v>
      </c>
      <c r="D7" s="283"/>
      <c r="E7" s="217" t="str">
        <f ca="1">IF(ISERROR($V7),"",OFFSET('Smelter Look-up'!$D$4,$V7-4,0)&amp;"")</f>
        <v>CHINA</v>
      </c>
      <c r="F7" s="217" t="str">
        <f ca="1">IF(ISERROR($V7),"",OFFSET('Smelter Look-up'!$E$4,$V7-4,0))</f>
        <v>CID002158</v>
      </c>
      <c r="G7" s="217" t="str">
        <f ca="1">IF(C7=$X$4,"Enter smelter details",IF(ISERROR($V7),"",OFFSET('Smelter Look-up'!$F$4,$V7-4,0)))</f>
        <v>RMI</v>
      </c>
      <c r="H7" s="218">
        <f ca="1">IF(ISERROR($V7),"",OFFSET('Smelter Look-up'!$G$4,$V7-4,0))</f>
        <v>0</v>
      </c>
      <c r="I7" s="219" t="str">
        <f ca="1">IF(ISERROR($V7),"",OFFSET('Smelter Look-up'!$H$4,$V7-4,0))</f>
        <v>Gejiu</v>
      </c>
      <c r="J7" s="219" t="str">
        <f ca="1">IF(ISERROR($V7),"",OFFSET('Smelter Look-up'!$I$4,$V7-4,0))</f>
        <v>Yunnan Sheng</v>
      </c>
      <c r="K7" s="273"/>
      <c r="L7" s="273"/>
      <c r="M7" s="273"/>
      <c r="N7" s="273"/>
      <c r="O7" s="273"/>
      <c r="P7" s="220"/>
      <c r="Q7" s="274"/>
      <c r="R7" s="217" t="str">
        <f ca="1">IF(ISERROR($V7),"",OFFSET('Smelter Look-up'!$C$4,$V7-4,0)&amp;"")</f>
        <v>Yunnan Chengfeng Non-ferrous Metals Co., Ltd.</v>
      </c>
      <c r="S7" s="225" t="str">
        <f t="shared" ca="1" si="3"/>
        <v>CN</v>
      </c>
      <c r="T7" s="225" t="str">
        <f ca="1">IF(B7="","",IF(ISERROR(MATCH($J7,SorP!$B$1:$B$6230,0)),"",INDIRECT("'SorP'!$A$"&amp;MATCH($J7,SorP!$B$1:$B$6230,0))))</f>
        <v>CN-YN</v>
      </c>
      <c r="U7" s="241"/>
      <c r="V7" s="275">
        <f ca="1">IF(C7="",NA(),MATCH($B7&amp;$C7,'Smelter Look-up'!$J:$J,0))</f>
        <v>473</v>
      </c>
      <c r="W7" s="276"/>
      <c r="X7" s="276">
        <f t="shared" ca="1" si="4"/>
        <v>0</v>
      </c>
      <c r="Y7" s="276"/>
      <c r="Z7" s="276"/>
      <c r="AB7" s="278" t="str">
        <f t="shared" ca="1" si="5"/>
        <v>TinYunnan Chengfeng Non-ferrous Metals Co., Ltd.</v>
      </c>
    </row>
    <row r="8" spans="1:34" s="277" customFormat="1" ht="20.100000000000001" customHeight="1">
      <c r="A8" s="332" t="s">
        <v>693</v>
      </c>
      <c r="B8" s="217" t="str">
        <f ca="1">IF(LEN(A8)=0,"",INDEX('Smelter Look-up'!$A:$A,MATCH($A8,'Smelter Look-up'!$E:$E,0)))</f>
        <v>Gold</v>
      </c>
      <c r="C8" s="221" t="str">
        <f ca="1">IF(LEN(A8)=0,"",INDEX('Smelter Look-up'!$C:$C,MATCH($A8,'Smelter Look-up'!$E:$E,0)))</f>
        <v>Guangdong Jinding Gold Limited</v>
      </c>
      <c r="D8" s="283"/>
      <c r="E8" s="217" t="str">
        <f ca="1">IF(ISERROR($V8),"",OFFSET('Smelter Look-up'!$D$4,$V8-4,0)&amp;"")</f>
        <v>CHINA</v>
      </c>
      <c r="F8" s="217" t="str">
        <f ca="1">IF(ISERROR($V8),"",OFFSET('Smelter Look-up'!$E$4,$V8-4,0))</f>
        <v>CID002312</v>
      </c>
      <c r="G8" s="217" t="str">
        <f ca="1">IF(C8=$X$4,"Enter smelter details",IF(ISERROR($V8),"",OFFSET('Smelter Look-up'!$F$4,$V8-4,0)))</f>
        <v>RMI</v>
      </c>
      <c r="H8" s="218">
        <f ca="1">IF(ISERROR($V8),"",OFFSET('Smelter Look-up'!$G$4,$V8-4,0))</f>
        <v>0</v>
      </c>
      <c r="I8" s="219" t="str">
        <f ca="1">IF(ISERROR($V8),"",OFFSET('Smelter Look-up'!$H$4,$V8-4,0))</f>
        <v>Guangzhou</v>
      </c>
      <c r="J8" s="219" t="str">
        <f ca="1">IF(ISERROR($V8),"",OFFSET('Smelter Look-up'!$I$4,$V8-4,0))</f>
        <v>Guangdong Sheng</v>
      </c>
      <c r="K8" s="273"/>
      <c r="L8" s="273"/>
      <c r="M8" s="273"/>
      <c r="N8" s="273"/>
      <c r="O8" s="273"/>
      <c r="P8" s="220"/>
      <c r="Q8" s="274"/>
      <c r="R8" s="217" t="str">
        <f ca="1">IF(ISERROR($V8),"",OFFSET('Smelter Look-up'!$C$4,$V8-4,0)&amp;"")</f>
        <v>Guangdong Jinding Gold Limited</v>
      </c>
      <c r="S8" s="225" t="str">
        <f t="shared" ca="1" si="3"/>
        <v>CN</v>
      </c>
      <c r="T8" s="225" t="str">
        <f ca="1">IF(B8="","",IF(ISERROR(MATCH($J8,SorP!$B$1:$B$6230,0)),"",INDIRECT("'SorP'!$A$"&amp;MATCH($J8,SorP!$B$1:$B$6230,0))))</f>
        <v>CN-GD</v>
      </c>
      <c r="U8" s="241"/>
      <c r="V8" s="275">
        <f ca="1">IF(C8="",NA(),MATCH($B8&amp;$C8,'Smelter Look-up'!$J:$J,0))</f>
        <v>87</v>
      </c>
      <c r="W8" s="276"/>
      <c r="X8" s="276">
        <f t="shared" ca="1" si="4"/>
        <v>0</v>
      </c>
      <c r="Y8" s="276"/>
      <c r="Z8" s="276"/>
      <c r="AB8" s="278" t="str">
        <f t="shared" ca="1" si="5"/>
        <v>GoldGuangdong Jinding Gold Limited</v>
      </c>
    </row>
    <row r="9" spans="1:34" s="277" customFormat="1" ht="20.100000000000001" customHeight="1">
      <c r="A9" s="332" t="s">
        <v>809</v>
      </c>
      <c r="B9" s="217" t="str">
        <f ca="1">IF(LEN(A9)=0,"",INDEX('Smelter Look-up'!$A:$A,MATCH($A9,'Smelter Look-up'!$E:$E,0)))</f>
        <v>Tin</v>
      </c>
      <c r="C9" s="221" t="str">
        <f ca="1">IF(LEN(A9)=0,"",INDEX('Smelter Look-up'!$C:$C,MATCH($A9,'Smelter Look-up'!$E:$E,0)))</f>
        <v>Yunnan Tin Company Limited</v>
      </c>
      <c r="D9" s="283"/>
      <c r="E9" s="217" t="str">
        <f ca="1">IF(ISERROR($V9),"",OFFSET('Smelter Look-up'!$D$4,$V9-4,0)&amp;"")</f>
        <v>CHINA</v>
      </c>
      <c r="F9" s="217" t="str">
        <f ca="1">IF(ISERROR($V9),"",OFFSET('Smelter Look-up'!$E$4,$V9-4,0))</f>
        <v>CID002180</v>
      </c>
      <c r="G9" s="217" t="str">
        <f ca="1">IF(C9=$X$4,"Enter smelter details",IF(ISERROR($V9),"",OFFSET('Smelter Look-up'!$F$4,$V9-4,0)))</f>
        <v>RMI</v>
      </c>
      <c r="H9" s="218">
        <f ca="1">IF(ISERROR($V9),"",OFFSET('Smelter Look-up'!$G$4,$V9-4,0))</f>
        <v>0</v>
      </c>
      <c r="I9" s="219" t="str">
        <f ca="1">IF(ISERROR($V9),"",OFFSET('Smelter Look-up'!$H$4,$V9-4,0))</f>
        <v>Gejiu</v>
      </c>
      <c r="J9" s="219" t="str">
        <f ca="1">IF(ISERROR($V9),"",OFFSET('Smelter Look-up'!$I$4,$V9-4,0))</f>
        <v>Yunnan Sheng</v>
      </c>
      <c r="K9" s="273"/>
      <c r="L9" s="273"/>
      <c r="M9" s="273"/>
      <c r="N9" s="273"/>
      <c r="O9" s="273"/>
      <c r="P9" s="220"/>
      <c r="Q9" s="274"/>
      <c r="R9" s="217" t="str">
        <f ca="1">IF(ISERROR($V9),"",OFFSET('Smelter Look-up'!$C$4,$V9-4,0)&amp;"")</f>
        <v>Yunnan Tin Company Limited</v>
      </c>
      <c r="S9" s="225" t="str">
        <f t="shared" ca="1" si="3"/>
        <v>CN</v>
      </c>
      <c r="T9" s="225" t="str">
        <f ca="1">IF(B9="","",IF(ISERROR(MATCH($J9,SorP!$B$1:$B$6230,0)),"",INDIRECT("'SorP'!$A$"&amp;MATCH($J9,SorP!$B$1:$B$6230,0))))</f>
        <v>CN-YN</v>
      </c>
      <c r="U9" s="241"/>
      <c r="V9" s="275">
        <f ca="1">IF(C9="",NA(),MATCH($B9&amp;$C9,'Smelter Look-up'!$J:$J,0))</f>
        <v>477</v>
      </c>
      <c r="W9" s="276"/>
      <c r="X9" s="276">
        <f t="shared" ca="1" si="4"/>
        <v>0</v>
      </c>
      <c r="Y9" s="276"/>
      <c r="Z9" s="276"/>
      <c r="AB9" s="278" t="str">
        <f t="shared" ca="1" si="5"/>
        <v>TinYunnan Tin Company Limited</v>
      </c>
    </row>
    <row r="10" spans="1:34" s="277" customFormat="1" ht="20.100000000000001" customHeight="1">
      <c r="A10" s="332" t="s">
        <v>1650</v>
      </c>
      <c r="B10" s="217" t="str">
        <f ca="1">IF(LEN(A10)=0,"",INDEX('Smelter Look-up'!$A:$A,MATCH($A10,'Smelter Look-up'!$E:$E,0)))</f>
        <v>Gold</v>
      </c>
      <c r="C10" s="221" t="str">
        <f ca="1">IF(LEN(A10)=0,"",INDEX('Smelter Look-up'!$C:$C,MATCH($A10,'Smelter Look-up'!$E:$E,0)))</f>
        <v>Metalor Technologies (Suzhou) Ltd.</v>
      </c>
      <c r="D10" s="283"/>
      <c r="E10" s="217" t="str">
        <f ca="1">IF(ISERROR($V10),"",OFFSET('Smelter Look-up'!$D$4,$V10-4,0)&amp;"")</f>
        <v>CHINA</v>
      </c>
      <c r="F10" s="217" t="str">
        <f ca="1">IF(ISERROR($V10),"",OFFSET('Smelter Look-up'!$E$4,$V10-4,0))</f>
        <v>CID001147</v>
      </c>
      <c r="G10" s="217" t="str">
        <f ca="1">IF(C10=$X$4,"Enter smelter details",IF(ISERROR($V10),"",OFFSET('Smelter Look-up'!$F$4,$V10-4,0)))</f>
        <v>RMI</v>
      </c>
      <c r="H10" s="218">
        <f ca="1">IF(ISERROR($V10),"",OFFSET('Smelter Look-up'!$G$4,$V10-4,0))</f>
        <v>0</v>
      </c>
      <c r="I10" s="219" t="str">
        <f ca="1">IF(ISERROR($V10),"",OFFSET('Smelter Look-up'!$H$4,$V10-4,0))</f>
        <v>Suzhou</v>
      </c>
      <c r="J10" s="219" t="str">
        <f ca="1">IF(ISERROR($V10),"",OFFSET('Smelter Look-up'!$I$4,$V10-4,0))</f>
        <v>Jiangsu Sheng</v>
      </c>
      <c r="K10" s="273"/>
      <c r="L10" s="273"/>
      <c r="M10" s="273"/>
      <c r="N10" s="273"/>
      <c r="O10" s="273"/>
      <c r="P10" s="220"/>
      <c r="Q10" s="274"/>
      <c r="R10" s="217" t="str">
        <f ca="1">IF(ISERROR($V10),"",OFFSET('Smelter Look-up'!$C$4,$V10-4,0)&amp;"")</f>
        <v>Metalor Technologies (Suzhou) Ltd.</v>
      </c>
      <c r="S10" s="225" t="str">
        <f t="shared" ca="1" si="3"/>
        <v>CN</v>
      </c>
      <c r="T10" s="225" t="str">
        <f ca="1">IF(B10="","",IF(ISERROR(MATCH($J10,SorP!$B$1:$B$6230,0)),"",INDIRECT("'SorP'!$A$"&amp;MATCH($J10,SorP!$B$1:$B$6230,0))))</f>
        <v>CN-JS</v>
      </c>
      <c r="U10" s="241"/>
      <c r="V10" s="275">
        <f ca="1">IF(C10="",NA(),MATCH($B10&amp;$C10,'Smelter Look-up'!$J:$J,0))</f>
        <v>157</v>
      </c>
      <c r="W10" s="276"/>
      <c r="X10" s="276">
        <f t="shared" ca="1" si="4"/>
        <v>0</v>
      </c>
      <c r="Y10" s="276"/>
      <c r="Z10" s="276"/>
      <c r="AB10" s="278" t="str">
        <f t="shared" ca="1" si="5"/>
        <v>GoldMetalor Technologies (Suzhou) Ltd.</v>
      </c>
    </row>
    <row r="11" spans="1:34" s="277" customFormat="1" ht="20.100000000000001" customHeight="1">
      <c r="A11" s="332" t="s">
        <v>703</v>
      </c>
      <c r="B11" s="217" t="str">
        <f ca="1">IF(LEN(A11)=0,"",INDEX('Smelter Look-up'!$A:$A,MATCH($A11,'Smelter Look-up'!$E:$E,0)))</f>
        <v>Gold</v>
      </c>
      <c r="C11" s="221" t="str">
        <f ca="1">IF(LEN(A11)=0,"",INDEX('Smelter Look-up'!$C:$C,MATCH($A11,'Smelter Look-up'!$E:$E,0)))</f>
        <v>Jiangxi Copper Co., Ltd.</v>
      </c>
      <c r="D11" s="283"/>
      <c r="E11" s="217" t="str">
        <f ca="1">IF(ISERROR($V11),"",OFFSET('Smelter Look-up'!$D$4,$V11-4,0)&amp;"")</f>
        <v>CHINA</v>
      </c>
      <c r="F11" s="217" t="str">
        <f ca="1">IF(ISERROR($V11),"",OFFSET('Smelter Look-up'!$E$4,$V11-4,0))</f>
        <v>CID000855</v>
      </c>
      <c r="G11" s="217" t="str">
        <f ca="1">IF(C11=$X$4,"Enter smelter details",IF(ISERROR($V11),"",OFFSET('Smelter Look-up'!$F$4,$V11-4,0)))</f>
        <v>RMI</v>
      </c>
      <c r="H11" s="218">
        <f ca="1">IF(ISERROR($V11),"",OFFSET('Smelter Look-up'!$G$4,$V11-4,0))</f>
        <v>0</v>
      </c>
      <c r="I11" s="219" t="str">
        <f ca="1">IF(ISERROR($V11),"",OFFSET('Smelter Look-up'!$H$4,$V11-4,0))</f>
        <v>Guixi City</v>
      </c>
      <c r="J11" s="219" t="str">
        <f ca="1">IF(ISERROR($V11),"",OFFSET('Smelter Look-up'!$I$4,$V11-4,0))</f>
        <v>Jiangxi Sheng</v>
      </c>
      <c r="K11" s="273"/>
      <c r="L11" s="273"/>
      <c r="M11" s="273"/>
      <c r="N11" s="273"/>
      <c r="O11" s="273"/>
      <c r="P11" s="220"/>
      <c r="Q11" s="274"/>
      <c r="R11" s="217" t="str">
        <f ca="1">IF(ISERROR($V11),"",OFFSET('Smelter Look-up'!$C$4,$V11-4,0)&amp;"")</f>
        <v>Jiangxi Copper Co., Ltd.</v>
      </c>
      <c r="S11" s="225" t="str">
        <f t="shared" ca="1" si="3"/>
        <v>CN</v>
      </c>
      <c r="T11" s="225" t="str">
        <f ca="1">IF(B11="","",IF(ISERROR(MATCH($J11,SorP!$B$1:$B$6230,0)),"",INDIRECT("'SorP'!$A$"&amp;MATCH($J11,SorP!$B$1:$B$6230,0))))</f>
        <v>CN-JX</v>
      </c>
      <c r="U11" s="241"/>
      <c r="V11" s="275">
        <f ca="1">IF(C11="",NA(),MATCH($B11&amp;$C11,'Smelter Look-up'!$J:$J,0))</f>
        <v>113</v>
      </c>
      <c r="W11" s="276"/>
      <c r="X11" s="276">
        <f t="shared" ca="1" si="4"/>
        <v>0</v>
      </c>
      <c r="Y11" s="276"/>
      <c r="Z11" s="276"/>
      <c r="AB11" s="278" t="str">
        <f t="shared" ca="1" si="5"/>
        <v>GoldJiangxi Copper Co., Ltd.</v>
      </c>
    </row>
    <row r="12" spans="1:34" s="277" customFormat="1" ht="20.100000000000001" customHeight="1">
      <c r="A12" s="332"/>
      <c r="B12" s="217" t="str">
        <f>IF(LEN(A12)=0,"",INDEX('Smelter Look-up'!$A:$A,MATCH($A12,'Smelter Look-up'!$E:$E,0)))</f>
        <v/>
      </c>
      <c r="C12" s="221" t="str">
        <f>IF(LEN(A12)=0,"",INDEX('Smelter Look-up'!$C:$C,MATCH($A12,'Smelter Look-up'!$E:$E,0)))</f>
        <v/>
      </c>
      <c r="D12" s="283"/>
      <c r="E12" s="217" t="str">
        <f ca="1">IF(ISERROR($V12),"",OFFSET('Smelter Look-up'!$D$4,$V12-4,0)&amp;"")</f>
        <v/>
      </c>
      <c r="F12" s="217" t="str">
        <f ca="1">IF(ISERROR($V12),"",OFFSET('Smelter Look-up'!$E$4,$V12-4,0))</f>
        <v/>
      </c>
      <c r="G12" s="217" t="str">
        <f ca="1">IF(C12=$X$4,"Enter smelter details",IF(ISERROR($V12),"",OFFSET('Smelter Look-up'!$F$4,$V12-4,0)))</f>
        <v/>
      </c>
      <c r="H12" s="218" t="str">
        <f ca="1">IF(ISERROR($V12),"",OFFSET('Smelter Look-up'!$G$4,$V12-4,0))</f>
        <v/>
      </c>
      <c r="I12" s="219" t="str">
        <f ca="1">IF(ISERROR($V12),"",OFFSET('Smelter Look-up'!$H$4,$V12-4,0))</f>
        <v/>
      </c>
      <c r="J12" s="219" t="str">
        <f ca="1">IF(ISERROR($V12),"",OFFSET('Smelter Look-up'!$I$4,$V12-4,0))</f>
        <v/>
      </c>
      <c r="K12" s="273"/>
      <c r="L12" s="273"/>
      <c r="M12" s="273"/>
      <c r="N12" s="273"/>
      <c r="O12" s="273"/>
      <c r="P12" s="220"/>
      <c r="Q12" s="274"/>
      <c r="R12" s="217" t="str">
        <f ca="1">IF(ISERROR($V12),"",OFFSET('Smelter Look-up'!$C$4,$V12-4,0)&amp;"")</f>
        <v/>
      </c>
      <c r="S12" s="225" t="str">
        <f t="shared" ca="1" si="3"/>
        <v/>
      </c>
      <c r="T12" s="225" t="str">
        <f ca="1">IF(B12="","",IF(ISERROR(MATCH($J12,SorP!$B$1:$B$6230,0)),"",INDIRECT("'SorP'!$A$"&amp;MATCH($J12,SorP!$B$1:$B$6230,0))))</f>
        <v/>
      </c>
      <c r="U12" s="241"/>
      <c r="V12" s="275" t="e">
        <f>IF(C12="",NA(),MATCH($B12&amp;$C12,'Smelter Look-up'!$J:$J,0))</f>
        <v>#N/A</v>
      </c>
      <c r="W12" s="276"/>
      <c r="X12" s="276">
        <f t="shared" ca="1" si="4"/>
        <v>0</v>
      </c>
      <c r="Y12" s="276"/>
      <c r="Z12" s="276"/>
      <c r="AB12" s="278" t="str">
        <f t="shared" si="5"/>
        <v/>
      </c>
    </row>
    <row r="13" spans="1:34" s="277" customFormat="1" ht="20.100000000000001" customHeight="1">
      <c r="A13" s="332"/>
      <c r="B13" s="217" t="str">
        <f>IF(LEN(A13)=0,"",INDEX('Smelter Look-up'!$A:$A,MATCH($A13,'Smelter Look-up'!$E:$E,0)))</f>
        <v/>
      </c>
      <c r="C13" s="221" t="str">
        <f>IF(LEN(A13)=0,"",INDEX('Smelter Look-up'!$C:$C,MATCH($A13,'Smelter Look-up'!$E:$E,0)))</f>
        <v/>
      </c>
      <c r="D13" s="283"/>
      <c r="E13" s="217" t="str">
        <f ca="1">IF(ISERROR($V13),"",OFFSET('Smelter Look-up'!$D$4,$V13-4,0)&amp;"")</f>
        <v/>
      </c>
      <c r="F13" s="217" t="str">
        <f ca="1">IF(ISERROR($V13),"",OFFSET('Smelter Look-up'!$E$4,$V13-4,0))</f>
        <v/>
      </c>
      <c r="G13" s="217" t="str">
        <f ca="1">IF(C13=$X$4,"Enter smelter details",IF(ISERROR($V13),"",OFFSET('Smelter Look-up'!$F$4,$V13-4,0)))</f>
        <v/>
      </c>
      <c r="H13" s="218" t="str">
        <f ca="1">IF(ISERROR($V13),"",OFFSET('Smelter Look-up'!$G$4,$V13-4,0))</f>
        <v/>
      </c>
      <c r="I13" s="219" t="str">
        <f ca="1">IF(ISERROR($V13),"",OFFSET('Smelter Look-up'!$H$4,$V13-4,0))</f>
        <v/>
      </c>
      <c r="J13" s="219" t="str">
        <f ca="1">IF(ISERROR($V13),"",OFFSET('Smelter Look-up'!$I$4,$V13-4,0))</f>
        <v/>
      </c>
      <c r="K13" s="273"/>
      <c r="L13" s="273"/>
      <c r="M13" s="273"/>
      <c r="N13" s="273"/>
      <c r="O13" s="273"/>
      <c r="P13" s="220"/>
      <c r="Q13" s="274"/>
      <c r="R13" s="217" t="str">
        <f ca="1">IF(ISERROR($V13),"",OFFSET('Smelter Look-up'!$C$4,$V13-4,0)&amp;"")</f>
        <v/>
      </c>
      <c r="S13" s="225" t="str">
        <f t="shared" ca="1" si="3"/>
        <v/>
      </c>
      <c r="T13" s="225" t="str">
        <f ca="1">IF(B13="","",IF(ISERROR(MATCH($J13,SorP!$B$1:$B$6230,0)),"",INDIRECT("'SorP'!$A$"&amp;MATCH($J13,SorP!$B$1:$B$6230,0))))</f>
        <v/>
      </c>
      <c r="U13" s="241"/>
      <c r="V13" s="275" t="e">
        <f>IF(C13="",NA(),MATCH($B13&amp;$C13,'Smelter Look-up'!$J:$J,0))</f>
        <v>#N/A</v>
      </c>
      <c r="W13" s="276"/>
      <c r="X13" s="276">
        <f t="shared" ca="1" si="4"/>
        <v>0</v>
      </c>
      <c r="Y13" s="276"/>
      <c r="Z13" s="276"/>
      <c r="AB13" s="278" t="str">
        <f t="shared" si="5"/>
        <v/>
      </c>
    </row>
    <row r="14" spans="1:34" s="277" customFormat="1" ht="20.100000000000001" customHeight="1">
      <c r="A14" s="332"/>
      <c r="B14" s="217" t="str">
        <f>IF(LEN(A14)=0,"",INDEX('Smelter Look-up'!$A:$A,MATCH($A14,'Smelter Look-up'!$E:$E,0)))</f>
        <v/>
      </c>
      <c r="C14" s="221" t="str">
        <f>IF(LEN(A14)=0,"",INDEX('Smelter Look-up'!$C:$C,MATCH($A14,'Smelter Look-up'!$E:$E,0)))</f>
        <v/>
      </c>
      <c r="D14" s="283"/>
      <c r="E14" s="217" t="str">
        <f ca="1">IF(ISERROR($V14),"",OFFSET('Smelter Look-up'!$D$4,$V14-4,0)&amp;"")</f>
        <v/>
      </c>
      <c r="F14" s="217" t="str">
        <f ca="1">IF(ISERROR($V14),"",OFFSET('Smelter Look-up'!$E$4,$V14-4,0))</f>
        <v/>
      </c>
      <c r="G14" s="217" t="str">
        <f ca="1">IF(C14=$X$4,"Enter smelter details",IF(ISERROR($V14),"",OFFSET('Smelter Look-up'!$F$4,$V14-4,0)))</f>
        <v/>
      </c>
      <c r="H14" s="218" t="str">
        <f ca="1">IF(ISERROR($V14),"",OFFSET('Smelter Look-up'!$G$4,$V14-4,0))</f>
        <v/>
      </c>
      <c r="I14" s="219" t="str">
        <f ca="1">IF(ISERROR($V14),"",OFFSET('Smelter Look-up'!$H$4,$V14-4,0))</f>
        <v/>
      </c>
      <c r="J14" s="219" t="str">
        <f ca="1">IF(ISERROR($V14),"",OFFSET('Smelter Look-up'!$I$4,$V14-4,0))</f>
        <v/>
      </c>
      <c r="K14" s="273"/>
      <c r="L14" s="273"/>
      <c r="M14" s="273"/>
      <c r="N14" s="273"/>
      <c r="O14" s="273"/>
      <c r="P14" s="220"/>
      <c r="Q14" s="274"/>
      <c r="R14" s="217" t="str">
        <f ca="1">IF(ISERROR($V14),"",OFFSET('Smelter Look-up'!$C$4,$V14-4,0)&amp;"")</f>
        <v/>
      </c>
      <c r="S14" s="225" t="str">
        <f t="shared" ca="1" si="3"/>
        <v/>
      </c>
      <c r="T14" s="225" t="str">
        <f ca="1">IF(B14="","",IF(ISERROR(MATCH($J14,SorP!$B$1:$B$6230,0)),"",INDIRECT("'SorP'!$A$"&amp;MATCH($J14,SorP!$B$1:$B$6230,0))))</f>
        <v/>
      </c>
      <c r="U14" s="241"/>
      <c r="V14" s="275" t="e">
        <f>IF(C14="",NA(),MATCH($B14&amp;$C14,'Smelter Look-up'!$J:$J,0))</f>
        <v>#N/A</v>
      </c>
      <c r="W14" s="276"/>
      <c r="X14" s="276">
        <f t="shared" ca="1" si="4"/>
        <v>0</v>
      </c>
      <c r="Y14" s="276"/>
      <c r="Z14" s="276"/>
      <c r="AB14" s="278" t="str">
        <f t="shared" si="5"/>
        <v/>
      </c>
    </row>
    <row r="15" spans="1:34" s="277" customFormat="1" ht="20.100000000000001" customHeight="1">
      <c r="A15" s="332"/>
      <c r="B15" s="217" t="str">
        <f>IF(LEN(A15)=0,"",INDEX('Smelter Look-up'!$A:$A,MATCH($A15,'Smelter Look-up'!$E:$E,0)))</f>
        <v/>
      </c>
      <c r="C15" s="221" t="str">
        <f>IF(LEN(A15)=0,"",INDEX('Smelter Look-up'!$C:$C,MATCH($A15,'Smelter Look-up'!$E:$E,0)))</f>
        <v/>
      </c>
      <c r="D15" s="283"/>
      <c r="E15" s="217" t="str">
        <f ca="1">IF(ISERROR($V15),"",OFFSET('Smelter Look-up'!$D$4,$V15-4,0)&amp;"")</f>
        <v/>
      </c>
      <c r="F15" s="217" t="str">
        <f ca="1">IF(ISERROR($V15),"",OFFSET('Smelter Look-up'!$E$4,$V15-4,0))</f>
        <v/>
      </c>
      <c r="G15" s="217" t="str">
        <f ca="1">IF(C15=$X$4,"Enter smelter details",IF(ISERROR($V15),"",OFFSET('Smelter Look-up'!$F$4,$V15-4,0)))</f>
        <v/>
      </c>
      <c r="H15" s="218" t="str">
        <f ca="1">IF(ISERROR($V15),"",OFFSET('Smelter Look-up'!$G$4,$V15-4,0))</f>
        <v/>
      </c>
      <c r="I15" s="219" t="str">
        <f ca="1">IF(ISERROR($V15),"",OFFSET('Smelter Look-up'!$H$4,$V15-4,0))</f>
        <v/>
      </c>
      <c r="J15" s="219" t="str">
        <f ca="1">IF(ISERROR($V15),"",OFFSET('Smelter Look-up'!$I$4,$V15-4,0))</f>
        <v/>
      </c>
      <c r="K15" s="273"/>
      <c r="L15" s="273"/>
      <c r="M15" s="273"/>
      <c r="N15" s="273"/>
      <c r="O15" s="273"/>
      <c r="P15" s="220"/>
      <c r="Q15" s="274"/>
      <c r="R15" s="217" t="str">
        <f ca="1">IF(ISERROR($V15),"",OFFSET('Smelter Look-up'!$C$4,$V15-4,0)&amp;"")</f>
        <v/>
      </c>
      <c r="S15" s="225" t="str">
        <f t="shared" ca="1" si="3"/>
        <v/>
      </c>
      <c r="T15" s="225" t="str">
        <f ca="1">IF(B15="","",IF(ISERROR(MATCH($J15,SorP!$B$1:$B$6230,0)),"",INDIRECT("'SorP'!$A$"&amp;MATCH($J15,SorP!$B$1:$B$6230,0))))</f>
        <v/>
      </c>
      <c r="U15" s="241"/>
      <c r="V15" s="275" t="e">
        <f>IF(C15="",NA(),MATCH($B15&amp;$C15,'Smelter Look-up'!$J:$J,0))</f>
        <v>#N/A</v>
      </c>
      <c r="W15" s="276"/>
      <c r="X15" s="276">
        <f t="shared" ca="1" si="4"/>
        <v>0</v>
      </c>
      <c r="Y15" s="276"/>
      <c r="Z15" s="276"/>
      <c r="AB15" s="278" t="str">
        <f t="shared" si="5"/>
        <v/>
      </c>
    </row>
    <row r="16" spans="1:34" s="277" customFormat="1" ht="20.100000000000001" customHeight="1">
      <c r="A16" s="332"/>
      <c r="B16" s="217" t="str">
        <f>IF(LEN(A16)=0,"",INDEX('Smelter Look-up'!$A:$A,MATCH($A16,'Smelter Look-up'!$E:$E,0)))</f>
        <v/>
      </c>
      <c r="C16" s="221" t="str">
        <f>IF(LEN(A16)=0,"",INDEX('Smelter Look-up'!$C:$C,MATCH($A16,'Smelter Look-up'!$E:$E,0)))</f>
        <v/>
      </c>
      <c r="D16" s="283"/>
      <c r="E16" s="217" t="str">
        <f ca="1">IF(ISERROR($V16),"",OFFSET('Smelter Look-up'!$D$4,$V16-4,0)&amp;"")</f>
        <v/>
      </c>
      <c r="F16" s="217" t="str">
        <f ca="1">IF(ISERROR($V16),"",OFFSET('Smelter Look-up'!$E$4,$V16-4,0))</f>
        <v/>
      </c>
      <c r="G16" s="217" t="str">
        <f ca="1">IF(C16=$X$4,"Enter smelter details",IF(ISERROR($V16),"",OFFSET('Smelter Look-up'!$F$4,$V16-4,0)))</f>
        <v/>
      </c>
      <c r="H16" s="218" t="str">
        <f ca="1">IF(ISERROR($V16),"",OFFSET('Smelter Look-up'!$G$4,$V16-4,0))</f>
        <v/>
      </c>
      <c r="I16" s="219" t="str">
        <f ca="1">IF(ISERROR($V16),"",OFFSET('Smelter Look-up'!$H$4,$V16-4,0))</f>
        <v/>
      </c>
      <c r="J16" s="219" t="str">
        <f ca="1">IF(ISERROR($V16),"",OFFSET('Smelter Look-up'!$I$4,$V16-4,0))</f>
        <v/>
      </c>
      <c r="K16" s="273"/>
      <c r="L16" s="273"/>
      <c r="M16" s="273"/>
      <c r="N16" s="273"/>
      <c r="O16" s="273"/>
      <c r="P16" s="220"/>
      <c r="Q16" s="274"/>
      <c r="R16" s="217" t="str">
        <f ca="1">IF(ISERROR($V16),"",OFFSET('Smelter Look-up'!$C$4,$V16-4,0)&amp;"")</f>
        <v/>
      </c>
      <c r="S16" s="225" t="str">
        <f t="shared" ca="1" si="3"/>
        <v/>
      </c>
      <c r="T16" s="225" t="str">
        <f ca="1">IF(B16="","",IF(ISERROR(MATCH($J16,SorP!$B$1:$B$6230,0)),"",INDIRECT("'SorP'!$A$"&amp;MATCH($J16,SorP!$B$1:$B$6230,0))))</f>
        <v/>
      </c>
      <c r="U16" s="241"/>
      <c r="V16" s="275" t="e">
        <f>IF(C16="",NA(),MATCH($B16&amp;$C16,'Smelter Look-up'!$J:$J,0))</f>
        <v>#N/A</v>
      </c>
      <c r="W16" s="276"/>
      <c r="X16" s="276">
        <f t="shared" ca="1" si="4"/>
        <v>0</v>
      </c>
      <c r="Y16" s="276"/>
      <c r="Z16" s="276"/>
      <c r="AB16" s="278" t="str">
        <f t="shared" si="5"/>
        <v/>
      </c>
    </row>
    <row r="17" spans="1:28" s="277" customFormat="1" ht="20.100000000000001" customHeight="1">
      <c r="A17" s="332"/>
      <c r="B17" s="217" t="str">
        <f>IF(LEN(A17)=0,"",INDEX('Smelter Look-up'!$A:$A,MATCH($A17,'Smelter Look-up'!$E:$E,0)))</f>
        <v/>
      </c>
      <c r="C17" s="221" t="str">
        <f>IF(LEN(A17)=0,"",INDEX('Smelter Look-up'!$C:$C,MATCH($A17,'Smelter Look-up'!$E:$E,0)))</f>
        <v/>
      </c>
      <c r="D17" s="283"/>
      <c r="E17" s="217" t="str">
        <f ca="1">IF(ISERROR($V17),"",OFFSET('Smelter Look-up'!$D$4,$V17-4,0)&amp;"")</f>
        <v/>
      </c>
      <c r="F17" s="217" t="str">
        <f ca="1">IF(ISERROR($V17),"",OFFSET('Smelter Look-up'!$E$4,$V17-4,0))</f>
        <v/>
      </c>
      <c r="G17" s="217" t="str">
        <f ca="1">IF(C17=$X$4,"Enter smelter details",IF(ISERROR($V17),"",OFFSET('Smelter Look-up'!$F$4,$V17-4,0)))</f>
        <v/>
      </c>
      <c r="H17" s="218" t="str">
        <f ca="1">IF(ISERROR($V17),"",OFFSET('Smelter Look-up'!$G$4,$V17-4,0))</f>
        <v/>
      </c>
      <c r="I17" s="219" t="str">
        <f ca="1">IF(ISERROR($V17),"",OFFSET('Smelter Look-up'!$H$4,$V17-4,0))</f>
        <v/>
      </c>
      <c r="J17" s="219" t="str">
        <f ca="1">IF(ISERROR($V17),"",OFFSET('Smelter Look-up'!$I$4,$V17-4,0))</f>
        <v/>
      </c>
      <c r="K17" s="273"/>
      <c r="L17" s="273"/>
      <c r="M17" s="273"/>
      <c r="N17" s="273"/>
      <c r="O17" s="273"/>
      <c r="P17" s="220"/>
      <c r="Q17" s="274"/>
      <c r="R17" s="217" t="str">
        <f ca="1">IF(ISERROR($V17),"",OFFSET('Smelter Look-up'!$C$4,$V17-4,0)&amp;"")</f>
        <v/>
      </c>
      <c r="S17" s="225" t="str">
        <f t="shared" ca="1" si="3"/>
        <v/>
      </c>
      <c r="T17" s="225" t="str">
        <f ca="1">IF(B17="","",IF(ISERROR(MATCH($J17,SorP!$B$1:$B$6230,0)),"",INDIRECT("'SorP'!$A$"&amp;MATCH($J17,SorP!$B$1:$B$6230,0))))</f>
        <v/>
      </c>
      <c r="U17" s="241"/>
      <c r="V17" s="275" t="e">
        <f>IF(C17="",NA(),MATCH($B17&amp;$C17,'Smelter Look-up'!$J:$J,0))</f>
        <v>#N/A</v>
      </c>
      <c r="W17" s="276"/>
      <c r="X17" s="276">
        <f t="shared" ca="1" si="4"/>
        <v>0</v>
      </c>
      <c r="Y17" s="276"/>
      <c r="Z17" s="276"/>
      <c r="AB17" s="278" t="str">
        <f t="shared" si="5"/>
        <v/>
      </c>
    </row>
    <row r="18" spans="1:28" s="277" customFormat="1" ht="20.100000000000001" customHeight="1">
      <c r="A18" s="216"/>
      <c r="B18" s="217" t="str">
        <f>IF(LEN(A18)=0,"",INDEX('Smelter Look-up'!$A:$A,MATCH($A18,'Smelter Look-up'!$E:$E,0)))</f>
        <v/>
      </c>
      <c r="C18" s="221" t="str">
        <f>IF(LEN(A18)=0,"",INDEX('Smelter Look-up'!$C:$C,MATCH($A18,'Smelter Look-up'!$E:$E,0)))</f>
        <v/>
      </c>
      <c r="D18" s="283"/>
      <c r="E18" s="217" t="str">
        <f ca="1">IF(ISERROR($V18),"",OFFSET('Smelter Look-up'!$D$4,$V18-4,0)&amp;"")</f>
        <v/>
      </c>
      <c r="F18" s="217" t="str">
        <f ca="1">IF(ISERROR($V18),"",OFFSET('Smelter Look-up'!$E$4,$V18-4,0))</f>
        <v/>
      </c>
      <c r="G18" s="217" t="str">
        <f ca="1">IF(C18=$X$4,"Enter smelter details",IF(ISERROR($V18),"",OFFSET('Smelter Look-up'!$F$4,$V18-4,0)))</f>
        <v/>
      </c>
      <c r="H18" s="218" t="str">
        <f ca="1">IF(ISERROR($V18),"",OFFSET('Smelter Look-up'!$G$4,$V18-4,0))</f>
        <v/>
      </c>
      <c r="I18" s="219" t="str">
        <f ca="1">IF(ISERROR($V18),"",OFFSET('Smelter Look-up'!$H$4,$V18-4,0))</f>
        <v/>
      </c>
      <c r="J18" s="219" t="str">
        <f ca="1">IF(ISERROR($V18),"",OFFSET('Smelter Look-up'!$I$4,$V18-4,0))</f>
        <v/>
      </c>
      <c r="K18" s="273"/>
      <c r="L18" s="273"/>
      <c r="M18" s="273"/>
      <c r="N18" s="273"/>
      <c r="O18" s="273"/>
      <c r="P18" s="220"/>
      <c r="Q18" s="274"/>
      <c r="R18" s="217" t="str">
        <f ca="1">IF(ISERROR($V18),"",OFFSET('Smelter Look-up'!$C$4,$V18-4,0)&amp;"")</f>
        <v/>
      </c>
      <c r="S18" s="225" t="str">
        <f t="shared" ca="1" si="3"/>
        <v/>
      </c>
      <c r="T18" s="225" t="str">
        <f ca="1">IF(B18="","",IF(ISERROR(MATCH($J18,SorP!$B$1:$B$6230,0)),"",INDIRECT("'SorP'!$A$"&amp;MATCH($J18,SorP!$B$1:$B$6230,0))))</f>
        <v/>
      </c>
      <c r="U18" s="241"/>
      <c r="V18" s="275" t="e">
        <f>IF(C18="",NA(),MATCH($B18&amp;$C18,'Smelter Look-up'!$J:$J,0))</f>
        <v>#N/A</v>
      </c>
      <c r="W18" s="276"/>
      <c r="X18" s="276">
        <f t="shared" ca="1" si="4"/>
        <v>0</v>
      </c>
      <c r="Y18" s="276"/>
      <c r="Z18" s="276"/>
      <c r="AB18" s="278" t="str">
        <f t="shared" si="5"/>
        <v/>
      </c>
    </row>
    <row r="19" spans="1:28" s="277" customFormat="1" ht="20.25">
      <c r="A19" s="216"/>
      <c r="B19" s="217" t="str">
        <f>IF(LEN(A19)=0,"",INDEX('Smelter Look-up'!$A:$A,MATCH($A19,'Smelter Look-up'!$E:$E,0)))</f>
        <v/>
      </c>
      <c r="C19" s="221" t="str">
        <f>IF(LEN(A19)=0,"",INDEX('Smelter Look-up'!$C:$C,MATCH($A19,'Smelter Look-up'!$E:$E,0)))</f>
        <v/>
      </c>
      <c r="D19" s="283"/>
      <c r="E19" s="217" t="str">
        <f ca="1">IF(ISERROR($V19),"",OFFSET('Smelter Look-up'!$D$4,$V19-4,0)&amp;"")</f>
        <v/>
      </c>
      <c r="F19" s="217" t="str">
        <f ca="1">IF(ISERROR($V19),"",OFFSET('Smelter Look-up'!$E$4,$V19-4,0))</f>
        <v/>
      </c>
      <c r="G19" s="217" t="str">
        <f ca="1">IF(C19=$X$4,"Enter smelter details",IF(ISERROR($V19),"",OFFSET('Smelter Look-up'!$F$4,$V19-4,0)))</f>
        <v/>
      </c>
      <c r="H19" s="218" t="str">
        <f ca="1">IF(ISERROR($V19),"",OFFSET('Smelter Look-up'!$G$4,$V19-4,0))</f>
        <v/>
      </c>
      <c r="I19" s="219" t="str">
        <f ca="1">IF(ISERROR($V19),"",OFFSET('Smelter Look-up'!$H$4,$V19-4,0))</f>
        <v/>
      </c>
      <c r="J19" s="219" t="str">
        <f ca="1">IF(ISERROR($V19),"",OFFSET('Smelter Look-up'!$I$4,$V19-4,0))</f>
        <v/>
      </c>
      <c r="K19" s="273"/>
      <c r="L19" s="273"/>
      <c r="M19" s="273"/>
      <c r="N19" s="273"/>
      <c r="O19" s="273"/>
      <c r="P19" s="220"/>
      <c r="Q19" s="274"/>
      <c r="R19" s="217" t="str">
        <f ca="1">IF(ISERROR($V19),"",OFFSET('Smelter Look-up'!$C$4,$V19-4,0)&amp;"")</f>
        <v/>
      </c>
      <c r="S19" s="225" t="str">
        <f t="shared" ca="1" si="3"/>
        <v/>
      </c>
      <c r="T19" s="225" t="str">
        <f ca="1">IF(B19="","",IF(ISERROR(MATCH($J19,SorP!$B$1:$B$6230,0)),"",INDIRECT("'SorP'!$A$"&amp;MATCH($J19,SorP!$B$1:$B$6230,0))))</f>
        <v/>
      </c>
      <c r="U19" s="241"/>
      <c r="V19" s="275" t="e">
        <f>IF(C19="",NA(),MATCH($B19&amp;$C19,'Smelter Look-up'!$J:$J,0))</f>
        <v>#N/A</v>
      </c>
      <c r="W19" s="276"/>
      <c r="X19" s="276">
        <f t="shared" ca="1" si="4"/>
        <v>0</v>
      </c>
      <c r="Y19" s="276"/>
      <c r="Z19" s="276"/>
      <c r="AB19" s="278" t="str">
        <f t="shared" si="5"/>
        <v/>
      </c>
    </row>
    <row r="20" spans="1:28" s="277" customFormat="1" ht="20.25">
      <c r="A20" s="216"/>
      <c r="B20" s="217" t="str">
        <f>IF(LEN(A20)=0,"",INDEX('Smelter Look-up'!$A:$A,MATCH($A20,'Smelter Look-up'!$E:$E,0)))</f>
        <v/>
      </c>
      <c r="C20" s="221" t="str">
        <f>IF(LEN(A20)=0,"",INDEX('Smelter Look-up'!$C:$C,MATCH($A20,'Smelter Look-up'!$E:$E,0)))</f>
        <v/>
      </c>
      <c r="D20" s="283"/>
      <c r="E20" s="217" t="str">
        <f ca="1">IF(ISERROR($V20),"",OFFSET('Smelter Look-up'!$D$4,$V20-4,0)&amp;"")</f>
        <v/>
      </c>
      <c r="F20" s="217" t="str">
        <f ca="1">IF(ISERROR($V20),"",OFFSET('Smelter Look-up'!$E$4,$V20-4,0))</f>
        <v/>
      </c>
      <c r="G20" s="217" t="str">
        <f ca="1">IF(C20=$X$4,"Enter smelter details",IF(ISERROR($V20),"",OFFSET('Smelter Look-up'!$F$4,$V20-4,0)))</f>
        <v/>
      </c>
      <c r="H20" s="218" t="str">
        <f ca="1">IF(ISERROR($V20),"",OFFSET('Smelter Look-up'!$G$4,$V20-4,0))</f>
        <v/>
      </c>
      <c r="I20" s="219" t="str">
        <f ca="1">IF(ISERROR($V20),"",OFFSET('Smelter Look-up'!$H$4,$V20-4,0))</f>
        <v/>
      </c>
      <c r="J20" s="219" t="str">
        <f ca="1">IF(ISERROR($V20),"",OFFSET('Smelter Look-up'!$I$4,$V20-4,0))</f>
        <v/>
      </c>
      <c r="K20" s="273"/>
      <c r="L20" s="273"/>
      <c r="M20" s="273"/>
      <c r="N20" s="273"/>
      <c r="O20" s="273"/>
      <c r="P20" s="220"/>
      <c r="Q20" s="274"/>
      <c r="R20" s="217" t="str">
        <f ca="1">IF(ISERROR($V20),"",OFFSET('Smelter Look-up'!$C$4,$V20-4,0)&amp;"")</f>
        <v/>
      </c>
      <c r="S20" s="225" t="str">
        <f t="shared" ca="1" si="3"/>
        <v/>
      </c>
      <c r="T20" s="225" t="str">
        <f ca="1">IF(B20="","",IF(ISERROR(MATCH($J20,SorP!$B$1:$B$6230,0)),"",INDIRECT("'SorP'!$A$"&amp;MATCH($J20,SorP!$B$1:$B$6230,0))))</f>
        <v/>
      </c>
      <c r="U20" s="241"/>
      <c r="V20" s="275" t="e">
        <f>IF(C20="",NA(),MATCH($B20&amp;$C20,'Smelter Look-up'!$J:$J,0))</f>
        <v>#N/A</v>
      </c>
      <c r="W20" s="276"/>
      <c r="X20" s="276">
        <f t="shared" ca="1" si="4"/>
        <v>0</v>
      </c>
      <c r="Y20" s="276"/>
      <c r="Z20" s="276"/>
      <c r="AB20" s="278" t="str">
        <f t="shared" si="5"/>
        <v/>
      </c>
    </row>
    <row r="21" spans="1:28" s="277" customFormat="1" ht="20.25">
      <c r="A21" s="216"/>
      <c r="B21" s="217" t="str">
        <f>IF(LEN(A21)=0,"",INDEX('Smelter Look-up'!$A:$A,MATCH($A21,'Smelter Look-up'!$E:$E,0)))</f>
        <v/>
      </c>
      <c r="C21" s="221" t="str">
        <f>IF(LEN(A21)=0,"",INDEX('Smelter Look-up'!$C:$C,MATCH($A21,'Smelter Look-up'!$E:$E,0)))</f>
        <v/>
      </c>
      <c r="D21" s="283"/>
      <c r="E21" s="217" t="str">
        <f ca="1">IF(ISERROR($V21),"",OFFSET('Smelter Look-up'!$D$4,$V21-4,0)&amp;"")</f>
        <v/>
      </c>
      <c r="F21" s="217" t="str">
        <f ca="1">IF(ISERROR($V21),"",OFFSET('Smelter Look-up'!$E$4,$V21-4,0))</f>
        <v/>
      </c>
      <c r="G21" s="217" t="str">
        <f ca="1">IF(C21=$X$4,"Enter smelter details",IF(ISERROR($V21),"",OFFSET('Smelter Look-up'!$F$4,$V21-4,0)))</f>
        <v/>
      </c>
      <c r="H21" s="218" t="str">
        <f ca="1">IF(ISERROR($V21),"",OFFSET('Smelter Look-up'!$G$4,$V21-4,0))</f>
        <v/>
      </c>
      <c r="I21" s="219" t="str">
        <f ca="1">IF(ISERROR($V21),"",OFFSET('Smelter Look-up'!$H$4,$V21-4,0))</f>
        <v/>
      </c>
      <c r="J21" s="219" t="str">
        <f ca="1">IF(ISERROR($V21),"",OFFSET('Smelter Look-up'!$I$4,$V21-4,0))</f>
        <v/>
      </c>
      <c r="K21" s="273"/>
      <c r="L21" s="273"/>
      <c r="M21" s="273"/>
      <c r="N21" s="273"/>
      <c r="O21" s="273"/>
      <c r="P21" s="220"/>
      <c r="Q21" s="274"/>
      <c r="R21" s="217" t="str">
        <f ca="1">IF(ISERROR($V21),"",OFFSET('Smelter Look-up'!$C$4,$V21-4,0)&amp;"")</f>
        <v/>
      </c>
      <c r="S21" s="225" t="str">
        <f t="shared" ca="1" si="3"/>
        <v/>
      </c>
      <c r="T21" s="225" t="str">
        <f ca="1">IF(B21="","",IF(ISERROR(MATCH($J21,SorP!$B$1:$B$6230,0)),"",INDIRECT("'SorP'!$A$"&amp;MATCH($J21,SorP!$B$1:$B$6230,0))))</f>
        <v/>
      </c>
      <c r="U21" s="241"/>
      <c r="V21" s="275" t="e">
        <f>IF(C21="",NA(),MATCH($B21&amp;$C21,'Smelter Look-up'!$J:$J,0))</f>
        <v>#N/A</v>
      </c>
      <c r="W21" s="276"/>
      <c r="X21" s="276">
        <f t="shared" ca="1" si="4"/>
        <v>0</v>
      </c>
      <c r="Y21" s="276"/>
      <c r="Z21" s="276"/>
      <c r="AB21" s="278" t="str">
        <f t="shared" si="5"/>
        <v/>
      </c>
    </row>
    <row r="22" spans="1:28" s="277" customFormat="1" ht="20.25">
      <c r="A22" s="216"/>
      <c r="B22" s="217" t="str">
        <f>IF(LEN(A22)=0,"",INDEX('Smelter Look-up'!$A:$A,MATCH($A22,'Smelter Look-up'!$E:$E,0)))</f>
        <v/>
      </c>
      <c r="C22" s="221" t="str">
        <f>IF(LEN(A22)=0,"",INDEX('Smelter Look-up'!$C:$C,MATCH($A22,'Smelter Look-up'!$E:$E,0)))</f>
        <v/>
      </c>
      <c r="D22" s="283"/>
      <c r="E22" s="217" t="str">
        <f ca="1">IF(ISERROR($V22),"",OFFSET('Smelter Look-up'!$D$4,$V22-4,0)&amp;"")</f>
        <v/>
      </c>
      <c r="F22" s="217" t="str">
        <f ca="1">IF(ISERROR($V22),"",OFFSET('Smelter Look-up'!$E$4,$V22-4,0))</f>
        <v/>
      </c>
      <c r="G22" s="217" t="str">
        <f ca="1">IF(C22=$X$4,"Enter smelter details",IF(ISERROR($V22),"",OFFSET('Smelter Look-up'!$F$4,$V22-4,0)))</f>
        <v/>
      </c>
      <c r="H22" s="218" t="str">
        <f ca="1">IF(ISERROR($V22),"",OFFSET('Smelter Look-up'!$G$4,$V22-4,0))</f>
        <v/>
      </c>
      <c r="I22" s="219" t="str">
        <f ca="1">IF(ISERROR($V22),"",OFFSET('Smelter Look-up'!$H$4,$V22-4,0))</f>
        <v/>
      </c>
      <c r="J22" s="219" t="str">
        <f ca="1">IF(ISERROR($V22),"",OFFSET('Smelter Look-up'!$I$4,$V22-4,0))</f>
        <v/>
      </c>
      <c r="K22" s="273"/>
      <c r="L22" s="273"/>
      <c r="M22" s="273"/>
      <c r="N22" s="273"/>
      <c r="O22" s="273"/>
      <c r="P22" s="220"/>
      <c r="Q22" s="274"/>
      <c r="R22" s="217" t="str">
        <f ca="1">IF(ISERROR($V22),"",OFFSET('Smelter Look-up'!$C$4,$V22-4,0)&amp;"")</f>
        <v/>
      </c>
      <c r="S22" s="225" t="str">
        <f t="shared" ca="1" si="3"/>
        <v/>
      </c>
      <c r="T22" s="225" t="str">
        <f ca="1">IF(B22="","",IF(ISERROR(MATCH($J22,SorP!$B$1:$B$6230,0)),"",INDIRECT("'SorP'!$A$"&amp;MATCH($J22,SorP!$B$1:$B$6230,0))))</f>
        <v/>
      </c>
      <c r="U22" s="241"/>
      <c r="V22" s="275" t="e">
        <f>IF(C22="",NA(),MATCH($B22&amp;$C22,'Smelter Look-up'!$J:$J,0))</f>
        <v>#N/A</v>
      </c>
      <c r="W22" s="276"/>
      <c r="X22" s="276">
        <f t="shared" ca="1" si="4"/>
        <v>0</v>
      </c>
      <c r="Y22" s="276"/>
      <c r="Z22" s="276"/>
      <c r="AB22" s="278" t="str">
        <f t="shared" si="5"/>
        <v/>
      </c>
    </row>
    <row r="23" spans="1:28" s="277" customFormat="1" ht="20.25">
      <c r="A23" s="216"/>
      <c r="B23" s="217" t="str">
        <f>IF(LEN(A23)=0,"",INDEX('Smelter Look-up'!$A:$A,MATCH($A23,'Smelter Look-up'!$E:$E,0)))</f>
        <v/>
      </c>
      <c r="C23" s="221" t="str">
        <f>IF(LEN(A23)=0,"",INDEX('Smelter Look-up'!$C:$C,MATCH($A23,'Smelter Look-up'!$E:$E,0)))</f>
        <v/>
      </c>
      <c r="D23" s="283"/>
      <c r="E23" s="217" t="str">
        <f ca="1">IF(ISERROR($V23),"",OFFSET('Smelter Look-up'!$D$4,$V23-4,0)&amp;"")</f>
        <v/>
      </c>
      <c r="F23" s="217" t="str">
        <f ca="1">IF(ISERROR($V23),"",OFFSET('Smelter Look-up'!$E$4,$V23-4,0))</f>
        <v/>
      </c>
      <c r="G23" s="217" t="str">
        <f ca="1">IF(C23=$X$4,"Enter smelter details",IF(ISERROR($V23),"",OFFSET('Smelter Look-up'!$F$4,$V23-4,0)))</f>
        <v/>
      </c>
      <c r="H23" s="218" t="str">
        <f ca="1">IF(ISERROR($V23),"",OFFSET('Smelter Look-up'!$G$4,$V23-4,0))</f>
        <v/>
      </c>
      <c r="I23" s="219" t="str">
        <f ca="1">IF(ISERROR($V23),"",OFFSET('Smelter Look-up'!$H$4,$V23-4,0))</f>
        <v/>
      </c>
      <c r="J23" s="219" t="str">
        <f ca="1">IF(ISERROR($V23),"",OFFSET('Smelter Look-up'!$I$4,$V23-4,0))</f>
        <v/>
      </c>
      <c r="K23" s="273"/>
      <c r="L23" s="273"/>
      <c r="M23" s="273"/>
      <c r="N23" s="273"/>
      <c r="O23" s="273"/>
      <c r="P23" s="220"/>
      <c r="Q23" s="274"/>
      <c r="R23" s="217" t="str">
        <f ca="1">IF(ISERROR($V23),"",OFFSET('Smelter Look-up'!$C$4,$V23-4,0)&amp;"")</f>
        <v/>
      </c>
      <c r="S23" s="225" t="str">
        <f t="shared" ca="1" si="3"/>
        <v/>
      </c>
      <c r="T23" s="225" t="str">
        <f ca="1">IF(B23="","",IF(ISERROR(MATCH($J23,SorP!$B$1:$B$6230,0)),"",INDIRECT("'SorP'!$A$"&amp;MATCH($J23,SorP!$B$1:$B$6230,0))))</f>
        <v/>
      </c>
      <c r="U23" s="241"/>
      <c r="V23" s="275" t="e">
        <f>IF(C23="",NA(),MATCH($B23&amp;$C23,'Smelter Look-up'!$J:$J,0))</f>
        <v>#N/A</v>
      </c>
      <c r="W23" s="276"/>
      <c r="X23" s="276">
        <f t="shared" ca="1" si="4"/>
        <v>0</v>
      </c>
      <c r="Y23" s="276"/>
      <c r="Z23" s="276"/>
      <c r="AB23" s="278" t="str">
        <f t="shared" si="5"/>
        <v/>
      </c>
    </row>
    <row r="24" spans="1:28" s="277" customFormat="1" ht="20.25">
      <c r="A24" s="216"/>
      <c r="B24" s="217" t="str">
        <f>IF(LEN(A24)=0,"",INDEX('Smelter Look-up'!$A:$A,MATCH($A24,'Smelter Look-up'!$E:$E,0)))</f>
        <v/>
      </c>
      <c r="C24" s="221" t="str">
        <f>IF(LEN(A24)=0,"",INDEX('Smelter Look-up'!$C:$C,MATCH($A24,'Smelter Look-up'!$E:$E,0)))</f>
        <v/>
      </c>
      <c r="D24" s="283"/>
      <c r="E24" s="217" t="str">
        <f ca="1">IF(ISERROR($V24),"",OFFSET('Smelter Look-up'!$D$4,$V24-4,0)&amp;"")</f>
        <v/>
      </c>
      <c r="F24" s="217" t="str">
        <f ca="1">IF(ISERROR($V24),"",OFFSET('Smelter Look-up'!$E$4,$V24-4,0))</f>
        <v/>
      </c>
      <c r="G24" s="217" t="str">
        <f ca="1">IF(C24=$X$4,"Enter smelter details",IF(ISERROR($V24),"",OFFSET('Smelter Look-up'!$F$4,$V24-4,0)))</f>
        <v/>
      </c>
      <c r="H24" s="218" t="str">
        <f ca="1">IF(ISERROR($V24),"",OFFSET('Smelter Look-up'!$G$4,$V24-4,0))</f>
        <v/>
      </c>
      <c r="I24" s="219" t="str">
        <f ca="1">IF(ISERROR($V24),"",OFFSET('Smelter Look-up'!$H$4,$V24-4,0))</f>
        <v/>
      </c>
      <c r="J24" s="219" t="str">
        <f ca="1">IF(ISERROR($V24),"",OFFSET('Smelter Look-up'!$I$4,$V24-4,0))</f>
        <v/>
      </c>
      <c r="K24" s="273"/>
      <c r="L24" s="273"/>
      <c r="M24" s="273"/>
      <c r="N24" s="273"/>
      <c r="O24" s="273"/>
      <c r="P24" s="220"/>
      <c r="Q24" s="274"/>
      <c r="R24" s="217" t="str">
        <f ca="1">IF(ISERROR($V24),"",OFFSET('Smelter Look-up'!$C$4,$V24-4,0)&amp;"")</f>
        <v/>
      </c>
      <c r="S24" s="225" t="str">
        <f t="shared" ca="1" si="3"/>
        <v/>
      </c>
      <c r="T24" s="225" t="str">
        <f ca="1">IF(B24="","",IF(ISERROR(MATCH($J24,SorP!$B$1:$B$6230,0)),"",INDIRECT("'SorP'!$A$"&amp;MATCH($J24,SorP!$B$1:$B$6230,0))))</f>
        <v/>
      </c>
      <c r="U24" s="241"/>
      <c r="V24" s="275" t="e">
        <f>IF(C24="",NA(),MATCH($B24&amp;$C24,'Smelter Look-up'!$J:$J,0))</f>
        <v>#N/A</v>
      </c>
      <c r="W24" s="276"/>
      <c r="X24" s="276">
        <f t="shared" ca="1" si="4"/>
        <v>0</v>
      </c>
      <c r="Y24" s="276"/>
      <c r="Z24" s="276"/>
      <c r="AB24" s="278" t="str">
        <f t="shared" si="5"/>
        <v/>
      </c>
    </row>
    <row r="25" spans="1:28" s="277" customFormat="1" ht="20.25">
      <c r="A25" s="216"/>
      <c r="B25" s="217" t="str">
        <f>IF(LEN(A25)=0,"",INDEX('Smelter Look-up'!$A:$A,MATCH($A25,'Smelter Look-up'!$E:$E,0)))</f>
        <v/>
      </c>
      <c r="C25" s="221" t="str">
        <f>IF(LEN(A25)=0,"",INDEX('Smelter Look-up'!$C:$C,MATCH($A25,'Smelter Look-up'!$E:$E,0)))</f>
        <v/>
      </c>
      <c r="D25" s="283"/>
      <c r="E25" s="217" t="str">
        <f ca="1">IF(ISERROR($V25),"",OFFSET('Smelter Look-up'!$D$4,$V25-4,0)&amp;"")</f>
        <v/>
      </c>
      <c r="F25" s="217" t="str">
        <f ca="1">IF(ISERROR($V25),"",OFFSET('Smelter Look-up'!$E$4,$V25-4,0))</f>
        <v/>
      </c>
      <c r="G25" s="217" t="str">
        <f ca="1">IF(C25=$X$4,"Enter smelter details",IF(ISERROR($V25),"",OFFSET('Smelter Look-up'!$F$4,$V25-4,0)))</f>
        <v/>
      </c>
      <c r="H25" s="218" t="str">
        <f ca="1">IF(ISERROR($V25),"",OFFSET('Smelter Look-up'!$G$4,$V25-4,0))</f>
        <v/>
      </c>
      <c r="I25" s="219" t="str">
        <f ca="1">IF(ISERROR($V25),"",OFFSET('Smelter Look-up'!$H$4,$V25-4,0))</f>
        <v/>
      </c>
      <c r="J25" s="219" t="str">
        <f ca="1">IF(ISERROR($V25),"",OFFSET('Smelter Look-up'!$I$4,$V25-4,0))</f>
        <v/>
      </c>
      <c r="K25" s="273"/>
      <c r="L25" s="273"/>
      <c r="M25" s="273"/>
      <c r="N25" s="273"/>
      <c r="O25" s="273"/>
      <c r="P25" s="220"/>
      <c r="Q25" s="274"/>
      <c r="R25" s="217" t="str">
        <f ca="1">IF(ISERROR($V25),"",OFFSET('Smelter Look-up'!$C$4,$V25-4,0)&amp;"")</f>
        <v/>
      </c>
      <c r="S25" s="225" t="str">
        <f t="shared" ca="1" si="3"/>
        <v/>
      </c>
      <c r="T25" s="225" t="str">
        <f ca="1">IF(B25="","",IF(ISERROR(MATCH($J25,SorP!$B$1:$B$6230,0)),"",INDIRECT("'SorP'!$A$"&amp;MATCH($J25,SorP!$B$1:$B$6230,0))))</f>
        <v/>
      </c>
      <c r="U25" s="241"/>
      <c r="V25" s="275" t="e">
        <f>IF(C25="",NA(),MATCH($B25&amp;$C25,'Smelter Look-up'!$J:$J,0))</f>
        <v>#N/A</v>
      </c>
      <c r="W25" s="276"/>
      <c r="X25" s="276">
        <f t="shared" ca="1" si="4"/>
        <v>0</v>
      </c>
      <c r="Y25" s="276"/>
      <c r="Z25" s="276"/>
      <c r="AB25" s="278" t="str">
        <f t="shared" si="5"/>
        <v/>
      </c>
    </row>
    <row r="26" spans="1:28" s="277" customFormat="1" ht="20.25">
      <c r="A26" s="216"/>
      <c r="B26" s="217" t="str">
        <f>IF(LEN(A26)=0,"",INDEX('Smelter Look-up'!$A:$A,MATCH($A26,'Smelter Look-up'!$E:$E,0)))</f>
        <v/>
      </c>
      <c r="C26" s="221" t="str">
        <f>IF(LEN(A26)=0,"",INDEX('Smelter Look-up'!$C:$C,MATCH($A26,'Smelter Look-up'!$E:$E,0)))</f>
        <v/>
      </c>
      <c r="D26" s="283"/>
      <c r="E26" s="217" t="str">
        <f ca="1">IF(ISERROR($V26),"",OFFSET('Smelter Look-up'!$D$4,$V26-4,0)&amp;"")</f>
        <v/>
      </c>
      <c r="F26" s="217" t="str">
        <f ca="1">IF(ISERROR($V26),"",OFFSET('Smelter Look-up'!$E$4,$V26-4,0))</f>
        <v/>
      </c>
      <c r="G26" s="217" t="str">
        <f ca="1">IF(C26=$X$4,"Enter smelter details",IF(ISERROR($V26),"",OFFSET('Smelter Look-up'!$F$4,$V26-4,0)))</f>
        <v/>
      </c>
      <c r="H26" s="218" t="str">
        <f ca="1">IF(ISERROR($V26),"",OFFSET('Smelter Look-up'!$G$4,$V26-4,0))</f>
        <v/>
      </c>
      <c r="I26" s="219" t="str">
        <f ca="1">IF(ISERROR($V26),"",OFFSET('Smelter Look-up'!$H$4,$V26-4,0))</f>
        <v/>
      </c>
      <c r="J26" s="219" t="str">
        <f ca="1">IF(ISERROR($V26),"",OFFSET('Smelter Look-up'!$I$4,$V26-4,0))</f>
        <v/>
      </c>
      <c r="K26" s="273"/>
      <c r="L26" s="273"/>
      <c r="M26" s="273"/>
      <c r="N26" s="273"/>
      <c r="O26" s="273"/>
      <c r="P26" s="220"/>
      <c r="Q26" s="274"/>
      <c r="R26" s="217" t="str">
        <f ca="1">IF(ISERROR($V26),"",OFFSET('Smelter Look-up'!$C$4,$V26-4,0)&amp;"")</f>
        <v/>
      </c>
      <c r="S26" s="225" t="str">
        <f t="shared" ca="1" si="3"/>
        <v/>
      </c>
      <c r="T26" s="225" t="str">
        <f ca="1">IF(B26="","",IF(ISERROR(MATCH($J26,SorP!$B$1:$B$6230,0)),"",INDIRECT("'SorP'!$A$"&amp;MATCH($J26,SorP!$B$1:$B$6230,0))))</f>
        <v/>
      </c>
      <c r="U26" s="241"/>
      <c r="V26" s="275" t="e">
        <f>IF(C26="",NA(),MATCH($B26&amp;$C26,'Smelter Look-up'!$J:$J,0))</f>
        <v>#N/A</v>
      </c>
      <c r="W26" s="276"/>
      <c r="X26" s="276">
        <f t="shared" ca="1" si="4"/>
        <v>0</v>
      </c>
      <c r="Y26" s="276"/>
      <c r="Z26" s="276"/>
      <c r="AB26" s="278" t="str">
        <f t="shared" si="5"/>
        <v/>
      </c>
    </row>
    <row r="27" spans="1:28" s="277" customFormat="1" ht="20.25">
      <c r="A27" s="216"/>
      <c r="B27" s="217" t="str">
        <f>IF(LEN(A27)=0,"",INDEX('Smelter Look-up'!$A:$A,MATCH($A27,'Smelter Look-up'!$E:$E,0)))</f>
        <v/>
      </c>
      <c r="C27" s="221" t="str">
        <f>IF(LEN(A27)=0,"",INDEX('Smelter Look-up'!$C:$C,MATCH($A27,'Smelter Look-up'!$E:$E,0)))</f>
        <v/>
      </c>
      <c r="D27" s="283"/>
      <c r="E27" s="217" t="str">
        <f ca="1">IF(ISERROR($V27),"",OFFSET('Smelter Look-up'!$D$4,$V27-4,0)&amp;"")</f>
        <v/>
      </c>
      <c r="F27" s="217" t="str">
        <f ca="1">IF(ISERROR($V27),"",OFFSET('Smelter Look-up'!$E$4,$V27-4,0))</f>
        <v/>
      </c>
      <c r="G27" s="217" t="str">
        <f ca="1">IF(C27=$X$4,"Enter smelter details",IF(ISERROR($V27),"",OFFSET('Smelter Look-up'!$F$4,$V27-4,0)))</f>
        <v/>
      </c>
      <c r="H27" s="218" t="str">
        <f ca="1">IF(ISERROR($V27),"",OFFSET('Smelter Look-up'!$G$4,$V27-4,0))</f>
        <v/>
      </c>
      <c r="I27" s="219" t="str">
        <f ca="1">IF(ISERROR($V27),"",OFFSET('Smelter Look-up'!$H$4,$V27-4,0))</f>
        <v/>
      </c>
      <c r="J27" s="219" t="str">
        <f ca="1">IF(ISERROR($V27),"",OFFSET('Smelter Look-up'!$I$4,$V27-4,0))</f>
        <v/>
      </c>
      <c r="K27" s="273"/>
      <c r="L27" s="273"/>
      <c r="M27" s="273"/>
      <c r="N27" s="273"/>
      <c r="O27" s="273"/>
      <c r="P27" s="220"/>
      <c r="Q27" s="274"/>
      <c r="R27" s="217" t="str">
        <f ca="1">IF(ISERROR($V27),"",OFFSET('Smelter Look-up'!$C$4,$V27-4,0)&amp;"")</f>
        <v/>
      </c>
      <c r="S27" s="225" t="str">
        <f t="shared" ca="1" si="3"/>
        <v/>
      </c>
      <c r="T27" s="225" t="str">
        <f ca="1">IF(B27="","",IF(ISERROR(MATCH($J27,SorP!$B$1:$B$6230,0)),"",INDIRECT("'SorP'!$A$"&amp;MATCH($J27,SorP!$B$1:$B$6230,0))))</f>
        <v/>
      </c>
      <c r="U27" s="241"/>
      <c r="V27" s="275" t="e">
        <f>IF(C27="",NA(),MATCH($B27&amp;$C27,'Smelter Look-up'!$J:$J,0))</f>
        <v>#N/A</v>
      </c>
      <c r="W27" s="276"/>
      <c r="X27" s="276">
        <f t="shared" ca="1" si="4"/>
        <v>0</v>
      </c>
      <c r="Y27" s="276"/>
      <c r="Z27" s="276"/>
      <c r="AB27" s="278" t="str">
        <f t="shared" si="5"/>
        <v/>
      </c>
    </row>
    <row r="28" spans="1:28" s="277" customFormat="1" ht="20.25">
      <c r="A28" s="216"/>
      <c r="B28" s="217" t="str">
        <f>IF(LEN(A28)=0,"",INDEX('Smelter Look-up'!$A:$A,MATCH($A28,'Smelter Look-up'!$E:$E,0)))</f>
        <v/>
      </c>
      <c r="C28" s="221" t="str">
        <f>IF(LEN(A28)=0,"",INDEX('Smelter Look-up'!$C:$C,MATCH($A28,'Smelter Look-up'!$E:$E,0)))</f>
        <v/>
      </c>
      <c r="D28" s="283"/>
      <c r="E28" s="217" t="str">
        <f ca="1">IF(ISERROR($V28),"",OFFSET('Smelter Look-up'!$D$4,$V28-4,0)&amp;"")</f>
        <v/>
      </c>
      <c r="F28" s="217" t="str">
        <f ca="1">IF(ISERROR($V28),"",OFFSET('Smelter Look-up'!$E$4,$V28-4,0))</f>
        <v/>
      </c>
      <c r="G28" s="217" t="str">
        <f ca="1">IF(C28=$X$4,"Enter smelter details",IF(ISERROR($V28),"",OFFSET('Smelter Look-up'!$F$4,$V28-4,0)))</f>
        <v/>
      </c>
      <c r="H28" s="218" t="str">
        <f ca="1">IF(ISERROR($V28),"",OFFSET('Smelter Look-up'!$G$4,$V28-4,0))</f>
        <v/>
      </c>
      <c r="I28" s="219" t="str">
        <f ca="1">IF(ISERROR($V28),"",OFFSET('Smelter Look-up'!$H$4,$V28-4,0))</f>
        <v/>
      </c>
      <c r="J28" s="219" t="str">
        <f ca="1">IF(ISERROR($V28),"",OFFSET('Smelter Look-up'!$I$4,$V28-4,0))</f>
        <v/>
      </c>
      <c r="K28" s="273"/>
      <c r="L28" s="273"/>
      <c r="M28" s="273"/>
      <c r="N28" s="273"/>
      <c r="O28" s="273"/>
      <c r="P28" s="220"/>
      <c r="Q28" s="274"/>
      <c r="R28" s="217" t="str">
        <f ca="1">IF(ISERROR($V28),"",OFFSET('Smelter Look-up'!$C$4,$V28-4,0)&amp;"")</f>
        <v/>
      </c>
      <c r="S28" s="225" t="str">
        <f t="shared" ca="1" si="3"/>
        <v/>
      </c>
      <c r="T28" s="225" t="str">
        <f ca="1">IF(B28="","",IF(ISERROR(MATCH($J28,SorP!$B$1:$B$6230,0)),"",INDIRECT("'SorP'!$A$"&amp;MATCH($J28,SorP!$B$1:$B$6230,0))))</f>
        <v/>
      </c>
      <c r="U28" s="241"/>
      <c r="V28" s="275" t="e">
        <f>IF(C28="",NA(),MATCH($B28&amp;$C28,'Smelter Look-up'!$J:$J,0))</f>
        <v>#N/A</v>
      </c>
      <c r="W28" s="276"/>
      <c r="X28" s="276">
        <f t="shared" ca="1" si="4"/>
        <v>0</v>
      </c>
      <c r="Y28" s="276"/>
      <c r="Z28" s="276"/>
      <c r="AB28" s="278" t="str">
        <f t="shared" si="5"/>
        <v/>
      </c>
    </row>
    <row r="29" spans="1:28" s="277" customFormat="1" ht="20.25">
      <c r="A29" s="216"/>
      <c r="B29" s="217" t="str">
        <f>IF(LEN(A29)=0,"",INDEX('Smelter Look-up'!$A:$A,MATCH($A29,'Smelter Look-up'!$E:$E,0)))</f>
        <v/>
      </c>
      <c r="C29" s="221" t="str">
        <f>IF(LEN(A29)=0,"",INDEX('Smelter Look-up'!$C:$C,MATCH($A29,'Smelter Look-up'!$E:$E,0)))</f>
        <v/>
      </c>
      <c r="D29" s="283"/>
      <c r="E29" s="217" t="str">
        <f ca="1">IF(ISERROR($V29),"",OFFSET('Smelter Look-up'!$D$4,$V29-4,0)&amp;"")</f>
        <v/>
      </c>
      <c r="F29" s="217" t="str">
        <f ca="1">IF(ISERROR($V29),"",OFFSET('Smelter Look-up'!$E$4,$V29-4,0))</f>
        <v/>
      </c>
      <c r="G29" s="217" t="str">
        <f ca="1">IF(C29=$X$4,"Enter smelter details",IF(ISERROR($V29),"",OFFSET('Smelter Look-up'!$F$4,$V29-4,0)))</f>
        <v/>
      </c>
      <c r="H29" s="218" t="str">
        <f ca="1">IF(ISERROR($V29),"",OFFSET('Smelter Look-up'!$G$4,$V29-4,0))</f>
        <v/>
      </c>
      <c r="I29" s="219" t="str">
        <f ca="1">IF(ISERROR($V29),"",OFFSET('Smelter Look-up'!$H$4,$V29-4,0))</f>
        <v/>
      </c>
      <c r="J29" s="219" t="str">
        <f ca="1">IF(ISERROR($V29),"",OFFSET('Smelter Look-up'!$I$4,$V29-4,0))</f>
        <v/>
      </c>
      <c r="K29" s="273"/>
      <c r="L29" s="273"/>
      <c r="M29" s="273"/>
      <c r="N29" s="273"/>
      <c r="O29" s="273"/>
      <c r="P29" s="220"/>
      <c r="Q29" s="274"/>
      <c r="R29" s="217" t="str">
        <f ca="1">IF(ISERROR($V29),"",OFFSET('Smelter Look-up'!$C$4,$V29-4,0)&amp;"")</f>
        <v/>
      </c>
      <c r="S29" s="225" t="str">
        <f t="shared" ca="1" si="3"/>
        <v/>
      </c>
      <c r="T29" s="225" t="str">
        <f ca="1">IF(B29="","",IF(ISERROR(MATCH($J29,SorP!$B$1:$B$6230,0)),"",INDIRECT("'SorP'!$A$"&amp;MATCH($J29,SorP!$B$1:$B$6230,0))))</f>
        <v/>
      </c>
      <c r="U29" s="241"/>
      <c r="V29" s="275" t="e">
        <f>IF(C29="",NA(),MATCH($B29&amp;$C29,'Smelter Look-up'!$J:$J,0))</f>
        <v>#N/A</v>
      </c>
      <c r="W29" s="276"/>
      <c r="X29" s="276">
        <f t="shared" ca="1" si="4"/>
        <v>0</v>
      </c>
      <c r="Y29" s="276"/>
      <c r="Z29" s="276"/>
      <c r="AB29" s="278" t="str">
        <f t="shared" si="5"/>
        <v/>
      </c>
    </row>
    <row r="30" spans="1:28" s="277" customFormat="1" ht="20.25">
      <c r="A30" s="216"/>
      <c r="B30" s="217" t="str">
        <f>IF(LEN(A30)=0,"",INDEX('Smelter Look-up'!$A:$A,MATCH($A30,'Smelter Look-up'!$E:$E,0)))</f>
        <v/>
      </c>
      <c r="C30" s="221" t="str">
        <f>IF(LEN(A30)=0,"",INDEX('Smelter Look-up'!$C:$C,MATCH($A30,'Smelter Look-up'!$E:$E,0)))</f>
        <v/>
      </c>
      <c r="D30" s="283"/>
      <c r="E30" s="217" t="str">
        <f ca="1">IF(ISERROR($V30),"",OFFSET('Smelter Look-up'!$D$4,$V30-4,0)&amp;"")</f>
        <v/>
      </c>
      <c r="F30" s="217" t="str">
        <f ca="1">IF(ISERROR($V30),"",OFFSET('Smelter Look-up'!$E$4,$V30-4,0))</f>
        <v/>
      </c>
      <c r="G30" s="217" t="str">
        <f ca="1">IF(C30=$X$4,"Enter smelter details",IF(ISERROR($V30),"",OFFSET('Smelter Look-up'!$F$4,$V30-4,0)))</f>
        <v/>
      </c>
      <c r="H30" s="218" t="str">
        <f ca="1">IF(ISERROR($V30),"",OFFSET('Smelter Look-up'!$G$4,$V30-4,0))</f>
        <v/>
      </c>
      <c r="I30" s="219" t="str">
        <f ca="1">IF(ISERROR($V30),"",OFFSET('Smelter Look-up'!$H$4,$V30-4,0))</f>
        <v/>
      </c>
      <c r="J30" s="219" t="str">
        <f ca="1">IF(ISERROR($V30),"",OFFSET('Smelter Look-up'!$I$4,$V30-4,0))</f>
        <v/>
      </c>
      <c r="K30" s="273"/>
      <c r="L30" s="273"/>
      <c r="M30" s="273"/>
      <c r="N30" s="273"/>
      <c r="O30" s="273"/>
      <c r="P30" s="220"/>
      <c r="Q30" s="274"/>
      <c r="R30" s="217" t="str">
        <f ca="1">IF(ISERROR($V30),"",OFFSET('Smelter Look-up'!$C$4,$V30-4,0)&amp;"")</f>
        <v/>
      </c>
      <c r="S30" s="225" t="str">
        <f t="shared" ca="1" si="3"/>
        <v/>
      </c>
      <c r="T30" s="225" t="str">
        <f ca="1">IF(B30="","",IF(ISERROR(MATCH($J30,SorP!$B$1:$B$6230,0)),"",INDIRECT("'SorP'!$A$"&amp;MATCH($J30,SorP!$B$1:$B$6230,0))))</f>
        <v/>
      </c>
      <c r="U30" s="241"/>
      <c r="V30" s="275" t="e">
        <f>IF(C30="",NA(),MATCH($B30&amp;$C30,'Smelter Look-up'!$J:$J,0))</f>
        <v>#N/A</v>
      </c>
      <c r="W30" s="276"/>
      <c r="X30" s="276">
        <f t="shared" ca="1" si="4"/>
        <v>0</v>
      </c>
      <c r="Y30" s="276"/>
      <c r="Z30" s="276"/>
      <c r="AB30" s="278" t="str">
        <f t="shared" si="5"/>
        <v/>
      </c>
    </row>
    <row r="31" spans="1:28" s="277" customFormat="1" ht="20.25">
      <c r="A31" s="216"/>
      <c r="B31" s="217" t="str">
        <f>IF(LEN(A31)=0,"",INDEX('Smelter Look-up'!$A:$A,MATCH($A31,'Smelter Look-up'!$E:$E,0)))</f>
        <v/>
      </c>
      <c r="C31" s="221" t="str">
        <f>IF(LEN(A31)=0,"",INDEX('Smelter Look-up'!$C:$C,MATCH($A31,'Smelter Look-up'!$E:$E,0)))</f>
        <v/>
      </c>
      <c r="D31" s="283"/>
      <c r="E31" s="217" t="str">
        <f ca="1">IF(ISERROR($V31),"",OFFSET('Smelter Look-up'!$D$4,$V31-4,0)&amp;"")</f>
        <v/>
      </c>
      <c r="F31" s="217" t="str">
        <f ca="1">IF(ISERROR($V31),"",OFFSET('Smelter Look-up'!$E$4,$V31-4,0))</f>
        <v/>
      </c>
      <c r="G31" s="217" t="str">
        <f ca="1">IF(C31=$X$4,"Enter smelter details",IF(ISERROR($V31),"",OFFSET('Smelter Look-up'!$F$4,$V31-4,0)))</f>
        <v/>
      </c>
      <c r="H31" s="218" t="str">
        <f ca="1">IF(ISERROR($V31),"",OFFSET('Smelter Look-up'!$G$4,$V31-4,0))</f>
        <v/>
      </c>
      <c r="I31" s="219" t="str">
        <f ca="1">IF(ISERROR($V31),"",OFFSET('Smelter Look-up'!$H$4,$V31-4,0))</f>
        <v/>
      </c>
      <c r="J31" s="219" t="str">
        <f ca="1">IF(ISERROR($V31),"",OFFSET('Smelter Look-up'!$I$4,$V31-4,0))</f>
        <v/>
      </c>
      <c r="K31" s="273"/>
      <c r="L31" s="273"/>
      <c r="M31" s="273"/>
      <c r="N31" s="273"/>
      <c r="O31" s="273"/>
      <c r="P31" s="220"/>
      <c r="Q31" s="274"/>
      <c r="R31" s="217" t="str">
        <f ca="1">IF(ISERROR($V31),"",OFFSET('Smelter Look-up'!$C$4,$V31-4,0)&amp;"")</f>
        <v/>
      </c>
      <c r="S31" s="225" t="str">
        <f t="shared" ca="1" si="3"/>
        <v/>
      </c>
      <c r="T31" s="225" t="str">
        <f ca="1">IF(B31="","",IF(ISERROR(MATCH($J31,SorP!$B$1:$B$6230,0)),"",INDIRECT("'SorP'!$A$"&amp;MATCH($J31,SorP!$B$1:$B$6230,0))))</f>
        <v/>
      </c>
      <c r="U31" s="241"/>
      <c r="V31" s="275" t="e">
        <f>IF(C31="",NA(),MATCH($B31&amp;$C31,'Smelter Look-up'!$J:$J,0))</f>
        <v>#N/A</v>
      </c>
      <c r="W31" s="276"/>
      <c r="X31" s="276">
        <f t="shared" ca="1" si="4"/>
        <v>0</v>
      </c>
      <c r="Y31" s="276"/>
      <c r="Z31" s="276"/>
      <c r="AB31" s="278" t="str">
        <f t="shared" si="5"/>
        <v/>
      </c>
    </row>
    <row r="32" spans="1:28" s="277" customFormat="1" ht="20.25">
      <c r="A32" s="216"/>
      <c r="B32" s="217" t="str">
        <f>IF(LEN(A32)=0,"",INDEX('Smelter Look-up'!$A:$A,MATCH($A32,'Smelter Look-up'!$E:$E,0)))</f>
        <v/>
      </c>
      <c r="C32" s="221" t="str">
        <f>IF(LEN(A32)=0,"",INDEX('Smelter Look-up'!$C:$C,MATCH($A32,'Smelter Look-up'!$E:$E,0)))</f>
        <v/>
      </c>
      <c r="D32" s="283"/>
      <c r="E32" s="217" t="str">
        <f ca="1">IF(ISERROR($V32),"",OFFSET('Smelter Look-up'!$D$4,$V32-4,0)&amp;"")</f>
        <v/>
      </c>
      <c r="F32" s="217" t="str">
        <f ca="1">IF(ISERROR($V32),"",OFFSET('Smelter Look-up'!$E$4,$V32-4,0))</f>
        <v/>
      </c>
      <c r="G32" s="217" t="str">
        <f ca="1">IF(C32=$X$4,"Enter smelter details",IF(ISERROR($V32),"",OFFSET('Smelter Look-up'!$F$4,$V32-4,0)))</f>
        <v/>
      </c>
      <c r="H32" s="218" t="str">
        <f ca="1">IF(ISERROR($V32),"",OFFSET('Smelter Look-up'!$G$4,$V32-4,0))</f>
        <v/>
      </c>
      <c r="I32" s="219" t="str">
        <f ca="1">IF(ISERROR($V32),"",OFFSET('Smelter Look-up'!$H$4,$V32-4,0))</f>
        <v/>
      </c>
      <c r="J32" s="219" t="str">
        <f ca="1">IF(ISERROR($V32),"",OFFSET('Smelter Look-up'!$I$4,$V32-4,0))</f>
        <v/>
      </c>
      <c r="K32" s="273"/>
      <c r="L32" s="273"/>
      <c r="M32" s="273"/>
      <c r="N32" s="273"/>
      <c r="O32" s="273"/>
      <c r="P32" s="220"/>
      <c r="Q32" s="274"/>
      <c r="R32" s="217" t="str">
        <f ca="1">IF(ISERROR($V32),"",OFFSET('Smelter Look-up'!$C$4,$V32-4,0)&amp;"")</f>
        <v/>
      </c>
      <c r="S32" s="225" t="str">
        <f t="shared" ca="1" si="3"/>
        <v/>
      </c>
      <c r="T32" s="225" t="str">
        <f ca="1">IF(B32="","",IF(ISERROR(MATCH($J32,SorP!$B$1:$B$6230,0)),"",INDIRECT("'SorP'!$A$"&amp;MATCH($J32,SorP!$B$1:$B$6230,0))))</f>
        <v/>
      </c>
      <c r="U32" s="241"/>
      <c r="V32" s="275" t="e">
        <f>IF(C32="",NA(),MATCH($B32&amp;$C32,'Smelter Look-up'!$J:$J,0))</f>
        <v>#N/A</v>
      </c>
      <c r="W32" s="276"/>
      <c r="X32" s="276">
        <f t="shared" ca="1" si="4"/>
        <v>0</v>
      </c>
      <c r="Y32" s="276"/>
      <c r="Z32" s="276"/>
      <c r="AB32" s="278" t="str">
        <f t="shared" si="5"/>
        <v/>
      </c>
    </row>
    <row r="33" spans="1:28" s="277" customFormat="1" ht="20.25">
      <c r="A33" s="216"/>
      <c r="B33" s="217" t="str">
        <f>IF(LEN(A33)=0,"",INDEX('Smelter Look-up'!$A:$A,MATCH($A33,'Smelter Look-up'!$E:$E,0)))</f>
        <v/>
      </c>
      <c r="C33" s="221" t="str">
        <f>IF(LEN(A33)=0,"",INDEX('Smelter Look-up'!$C:$C,MATCH($A33,'Smelter Look-up'!$E:$E,0)))</f>
        <v/>
      </c>
      <c r="D33" s="283"/>
      <c r="E33" s="217" t="str">
        <f ca="1">IF(ISERROR($V33),"",OFFSET('Smelter Look-up'!$D$4,$V33-4,0)&amp;"")</f>
        <v/>
      </c>
      <c r="F33" s="217" t="str">
        <f ca="1">IF(ISERROR($V33),"",OFFSET('Smelter Look-up'!$E$4,$V33-4,0))</f>
        <v/>
      </c>
      <c r="G33" s="217" t="str">
        <f ca="1">IF(C33=$X$4,"Enter smelter details",IF(ISERROR($V33),"",OFFSET('Smelter Look-up'!$F$4,$V33-4,0)))</f>
        <v/>
      </c>
      <c r="H33" s="218" t="str">
        <f ca="1">IF(ISERROR($V33),"",OFFSET('Smelter Look-up'!$G$4,$V33-4,0))</f>
        <v/>
      </c>
      <c r="I33" s="219" t="str">
        <f ca="1">IF(ISERROR($V33),"",OFFSET('Smelter Look-up'!$H$4,$V33-4,0))</f>
        <v/>
      </c>
      <c r="J33" s="219" t="str">
        <f ca="1">IF(ISERROR($V33),"",OFFSET('Smelter Look-up'!$I$4,$V33-4,0))</f>
        <v/>
      </c>
      <c r="K33" s="273"/>
      <c r="L33" s="273"/>
      <c r="M33" s="273"/>
      <c r="N33" s="273"/>
      <c r="O33" s="273"/>
      <c r="P33" s="220"/>
      <c r="Q33" s="274"/>
      <c r="R33" s="217" t="str">
        <f ca="1">IF(ISERROR($V33),"",OFFSET('Smelter Look-up'!$C$4,$V33-4,0)&amp;"")</f>
        <v/>
      </c>
      <c r="S33" s="225" t="str">
        <f t="shared" ca="1" si="3"/>
        <v/>
      </c>
      <c r="T33" s="225" t="str">
        <f ca="1">IF(B33="","",IF(ISERROR(MATCH($J33,SorP!$B$1:$B$6230,0)),"",INDIRECT("'SorP'!$A$"&amp;MATCH($J33,SorP!$B$1:$B$6230,0))))</f>
        <v/>
      </c>
      <c r="U33" s="241"/>
      <c r="V33" s="275" t="e">
        <f>IF(C33="",NA(),MATCH($B33&amp;$C33,'Smelter Look-up'!$J:$J,0))</f>
        <v>#N/A</v>
      </c>
      <c r="W33" s="276"/>
      <c r="X33" s="276">
        <f t="shared" ca="1" si="4"/>
        <v>0</v>
      </c>
      <c r="Y33" s="276"/>
      <c r="Z33" s="276"/>
      <c r="AB33" s="278" t="str">
        <f t="shared" si="5"/>
        <v/>
      </c>
    </row>
    <row r="34" spans="1:28" s="277" customFormat="1" ht="20.25">
      <c r="A34" s="216"/>
      <c r="B34" s="217" t="str">
        <f>IF(LEN(A34)=0,"",INDEX('Smelter Look-up'!$A:$A,MATCH($A34,'Smelter Look-up'!$E:$E,0)))</f>
        <v/>
      </c>
      <c r="C34" s="221" t="str">
        <f>IF(LEN(A34)=0,"",INDEX('Smelter Look-up'!$C:$C,MATCH($A34,'Smelter Look-up'!$E:$E,0)))</f>
        <v/>
      </c>
      <c r="D34" s="283"/>
      <c r="E34" s="217" t="str">
        <f ca="1">IF(ISERROR($V34),"",OFFSET('Smelter Look-up'!$D$4,$V34-4,0)&amp;"")</f>
        <v/>
      </c>
      <c r="F34" s="217" t="str">
        <f ca="1">IF(ISERROR($V34),"",OFFSET('Smelter Look-up'!$E$4,$V34-4,0))</f>
        <v/>
      </c>
      <c r="G34" s="217" t="str">
        <f ca="1">IF(C34=$X$4,"Enter smelter details",IF(ISERROR($V34),"",OFFSET('Smelter Look-up'!$F$4,$V34-4,0)))</f>
        <v/>
      </c>
      <c r="H34" s="218" t="str">
        <f ca="1">IF(ISERROR($V34),"",OFFSET('Smelter Look-up'!$G$4,$V34-4,0))</f>
        <v/>
      </c>
      <c r="I34" s="219" t="str">
        <f ca="1">IF(ISERROR($V34),"",OFFSET('Smelter Look-up'!$H$4,$V34-4,0))</f>
        <v/>
      </c>
      <c r="J34" s="219" t="str">
        <f ca="1">IF(ISERROR($V34),"",OFFSET('Smelter Look-up'!$I$4,$V34-4,0))</f>
        <v/>
      </c>
      <c r="K34" s="273"/>
      <c r="L34" s="273"/>
      <c r="M34" s="273"/>
      <c r="N34" s="273"/>
      <c r="O34" s="273"/>
      <c r="P34" s="220"/>
      <c r="Q34" s="274"/>
      <c r="R34" s="217" t="str">
        <f ca="1">IF(ISERROR($V34),"",OFFSET('Smelter Look-up'!$C$4,$V34-4,0)&amp;"")</f>
        <v/>
      </c>
      <c r="S34" s="225" t="str">
        <f t="shared" ca="1" si="3"/>
        <v/>
      </c>
      <c r="T34" s="225" t="str">
        <f ca="1">IF(B34="","",IF(ISERROR(MATCH($J34,SorP!$B$1:$B$6230,0)),"",INDIRECT("'SorP'!$A$"&amp;MATCH($J34,SorP!$B$1:$B$6230,0))))</f>
        <v/>
      </c>
      <c r="U34" s="241"/>
      <c r="V34" s="275" t="e">
        <f>IF(C34="",NA(),MATCH($B34&amp;$C34,'Smelter Look-up'!$J:$J,0))</f>
        <v>#N/A</v>
      </c>
      <c r="W34" s="276"/>
      <c r="X34" s="276">
        <f t="shared" ca="1" si="4"/>
        <v>0</v>
      </c>
      <c r="Y34" s="276"/>
      <c r="Z34" s="276"/>
      <c r="AB34" s="278" t="str">
        <f t="shared" si="5"/>
        <v/>
      </c>
    </row>
    <row r="35" spans="1:28" s="277" customFormat="1" ht="20.25">
      <c r="A35" s="216"/>
      <c r="B35" s="217" t="str">
        <f>IF(LEN(A35)=0,"",INDEX('Smelter Look-up'!$A:$A,MATCH($A35,'Smelter Look-up'!$E:$E,0)))</f>
        <v/>
      </c>
      <c r="C35" s="221" t="str">
        <f>IF(LEN(A35)=0,"",INDEX('Smelter Look-up'!$C:$C,MATCH($A35,'Smelter Look-up'!$E:$E,0)))</f>
        <v/>
      </c>
      <c r="D35" s="283"/>
      <c r="E35" s="217" t="str">
        <f ca="1">IF(ISERROR($V35),"",OFFSET('Smelter Look-up'!$D$4,$V35-4,0)&amp;"")</f>
        <v/>
      </c>
      <c r="F35" s="217" t="str">
        <f ca="1">IF(ISERROR($V35),"",OFFSET('Smelter Look-up'!$E$4,$V35-4,0))</f>
        <v/>
      </c>
      <c r="G35" s="217" t="str">
        <f ca="1">IF(C35=$X$4,"Enter smelter details",IF(ISERROR($V35),"",OFFSET('Smelter Look-up'!$F$4,$V35-4,0)))</f>
        <v/>
      </c>
      <c r="H35" s="218" t="str">
        <f ca="1">IF(ISERROR($V35),"",OFFSET('Smelter Look-up'!$G$4,$V35-4,0))</f>
        <v/>
      </c>
      <c r="I35" s="219" t="str">
        <f ca="1">IF(ISERROR($V35),"",OFFSET('Smelter Look-up'!$H$4,$V35-4,0))</f>
        <v/>
      </c>
      <c r="J35" s="219" t="str">
        <f ca="1">IF(ISERROR($V35),"",OFFSET('Smelter Look-up'!$I$4,$V35-4,0))</f>
        <v/>
      </c>
      <c r="K35" s="273"/>
      <c r="L35" s="273"/>
      <c r="M35" s="273"/>
      <c r="N35" s="273"/>
      <c r="O35" s="273"/>
      <c r="P35" s="220"/>
      <c r="Q35" s="274"/>
      <c r="R35" s="217" t="str">
        <f ca="1">IF(ISERROR($V35),"",OFFSET('Smelter Look-up'!$C$4,$V35-4,0)&amp;"")</f>
        <v/>
      </c>
      <c r="S35" s="225" t="str">
        <f t="shared" ca="1" si="3"/>
        <v/>
      </c>
      <c r="T35" s="225" t="str">
        <f ca="1">IF(B35="","",IF(ISERROR(MATCH($J35,SorP!$B$1:$B$6230,0)),"",INDIRECT("'SorP'!$A$"&amp;MATCH($J35,SorP!$B$1:$B$6230,0))))</f>
        <v/>
      </c>
      <c r="U35" s="241"/>
      <c r="V35" s="275" t="e">
        <f>IF(C35="",NA(),MATCH($B35&amp;$C35,'Smelter Look-up'!$J:$J,0))</f>
        <v>#N/A</v>
      </c>
      <c r="W35" s="276"/>
      <c r="X35" s="276">
        <f t="shared" ca="1" si="4"/>
        <v>0</v>
      </c>
      <c r="Y35" s="276"/>
      <c r="Z35" s="276"/>
      <c r="AB35" s="278" t="str">
        <f t="shared" si="5"/>
        <v/>
      </c>
    </row>
    <row r="36" spans="1:28" s="277" customFormat="1" ht="20.25">
      <c r="A36" s="216"/>
      <c r="B36" s="217" t="str">
        <f>IF(LEN(A36)=0,"",INDEX('Smelter Look-up'!$A:$A,MATCH($A36,'Smelter Look-up'!$E:$E,0)))</f>
        <v/>
      </c>
      <c r="C36" s="221" t="str">
        <f>IF(LEN(A36)=0,"",INDEX('Smelter Look-up'!$C:$C,MATCH($A36,'Smelter Look-up'!$E:$E,0)))</f>
        <v/>
      </c>
      <c r="D36" s="283"/>
      <c r="E36" s="217" t="str">
        <f ca="1">IF(ISERROR($V36),"",OFFSET('Smelter Look-up'!$D$4,$V36-4,0)&amp;"")</f>
        <v/>
      </c>
      <c r="F36" s="217" t="str">
        <f ca="1">IF(ISERROR($V36),"",OFFSET('Smelter Look-up'!$E$4,$V36-4,0))</f>
        <v/>
      </c>
      <c r="G36" s="217" t="str">
        <f ca="1">IF(C36=$X$4,"Enter smelter details",IF(ISERROR($V36),"",OFFSET('Smelter Look-up'!$F$4,$V36-4,0)))</f>
        <v/>
      </c>
      <c r="H36" s="218" t="str">
        <f ca="1">IF(ISERROR($V36),"",OFFSET('Smelter Look-up'!$G$4,$V36-4,0))</f>
        <v/>
      </c>
      <c r="I36" s="219" t="str">
        <f ca="1">IF(ISERROR($V36),"",OFFSET('Smelter Look-up'!$H$4,$V36-4,0))</f>
        <v/>
      </c>
      <c r="J36" s="219" t="str">
        <f ca="1">IF(ISERROR($V36),"",OFFSET('Smelter Look-up'!$I$4,$V36-4,0))</f>
        <v/>
      </c>
      <c r="K36" s="273"/>
      <c r="L36" s="273"/>
      <c r="M36" s="273"/>
      <c r="N36" s="273"/>
      <c r="O36" s="273"/>
      <c r="P36" s="220"/>
      <c r="Q36" s="274"/>
      <c r="R36" s="217" t="str">
        <f ca="1">IF(ISERROR($V36),"",OFFSET('Smelter Look-up'!$C$4,$V36-4,0)&amp;"")</f>
        <v/>
      </c>
      <c r="S36" s="225" t="str">
        <f t="shared" ca="1" si="3"/>
        <v/>
      </c>
      <c r="T36" s="225" t="str">
        <f ca="1">IF(B36="","",IF(ISERROR(MATCH($J36,SorP!$B$1:$B$6230,0)),"",INDIRECT("'SorP'!$A$"&amp;MATCH($J36,SorP!$B$1:$B$6230,0))))</f>
        <v/>
      </c>
      <c r="U36" s="241"/>
      <c r="V36" s="275" t="e">
        <f>IF(C36="",NA(),MATCH($B36&amp;$C36,'Smelter Look-up'!$J:$J,0))</f>
        <v>#N/A</v>
      </c>
      <c r="W36" s="276"/>
      <c r="X36" s="276">
        <f t="shared" ca="1" si="4"/>
        <v>0</v>
      </c>
      <c r="Y36" s="276"/>
      <c r="Z36" s="276"/>
      <c r="AB36" s="278" t="str">
        <f t="shared" si="5"/>
        <v/>
      </c>
    </row>
    <row r="37" spans="1:28" s="277" customFormat="1" ht="20.25">
      <c r="A37" s="216"/>
      <c r="B37" s="217" t="str">
        <f>IF(LEN(A37)=0,"",INDEX('Smelter Look-up'!$A:$A,MATCH($A37,'Smelter Look-up'!$E:$E,0)))</f>
        <v/>
      </c>
      <c r="C37" s="221" t="str">
        <f>IF(LEN(A37)=0,"",INDEX('Smelter Look-up'!$C:$C,MATCH($A37,'Smelter Look-up'!$E:$E,0)))</f>
        <v/>
      </c>
      <c r="D37" s="283"/>
      <c r="E37" s="217" t="str">
        <f ca="1">IF(ISERROR($V37),"",OFFSET('Smelter Look-up'!$D$4,$V37-4,0)&amp;"")</f>
        <v/>
      </c>
      <c r="F37" s="217" t="str">
        <f ca="1">IF(ISERROR($V37),"",OFFSET('Smelter Look-up'!$E$4,$V37-4,0))</f>
        <v/>
      </c>
      <c r="G37" s="217" t="str">
        <f ca="1">IF(C37=$X$4,"Enter smelter details",IF(ISERROR($V37),"",OFFSET('Smelter Look-up'!$F$4,$V37-4,0)))</f>
        <v/>
      </c>
      <c r="H37" s="218" t="str">
        <f ca="1">IF(ISERROR($V37),"",OFFSET('Smelter Look-up'!$G$4,$V37-4,0))</f>
        <v/>
      </c>
      <c r="I37" s="219" t="str">
        <f ca="1">IF(ISERROR($V37),"",OFFSET('Smelter Look-up'!$H$4,$V37-4,0))</f>
        <v/>
      </c>
      <c r="J37" s="219" t="str">
        <f ca="1">IF(ISERROR($V37),"",OFFSET('Smelter Look-up'!$I$4,$V37-4,0))</f>
        <v/>
      </c>
      <c r="K37" s="273"/>
      <c r="L37" s="273"/>
      <c r="M37" s="273"/>
      <c r="N37" s="273"/>
      <c r="O37" s="273"/>
      <c r="P37" s="220"/>
      <c r="Q37" s="274"/>
      <c r="R37" s="217" t="str">
        <f ca="1">IF(ISERROR($V37),"",OFFSET('Smelter Look-up'!$C$4,$V37-4,0)&amp;"")</f>
        <v/>
      </c>
      <c r="S37" s="225" t="str">
        <f t="shared" ca="1" si="3"/>
        <v/>
      </c>
      <c r="T37" s="225" t="str">
        <f ca="1">IF(B37="","",IF(ISERROR(MATCH($J37,SorP!$B$1:$B$6230,0)),"",INDIRECT("'SorP'!$A$"&amp;MATCH($J37,SorP!$B$1:$B$6230,0))))</f>
        <v/>
      </c>
      <c r="U37" s="241"/>
      <c r="V37" s="275" t="e">
        <f>IF(C37="",NA(),MATCH($B37&amp;$C37,'Smelter Look-up'!$J:$J,0))</f>
        <v>#N/A</v>
      </c>
      <c r="W37" s="276"/>
      <c r="X37" s="276">
        <f t="shared" ca="1" si="4"/>
        <v>0</v>
      </c>
      <c r="Y37" s="276"/>
      <c r="Z37" s="276"/>
      <c r="AB37" s="278" t="str">
        <f t="shared" si="5"/>
        <v/>
      </c>
    </row>
    <row r="38" spans="1:28" s="277" customFormat="1" ht="20.25">
      <c r="A38" s="216"/>
      <c r="B38" s="217" t="str">
        <f>IF(LEN(A38)=0,"",INDEX('Smelter Look-up'!$A:$A,MATCH($A38,'Smelter Look-up'!$E:$E,0)))</f>
        <v/>
      </c>
      <c r="C38" s="221" t="str">
        <f>IF(LEN(A38)=0,"",INDEX('Smelter Look-up'!$C:$C,MATCH($A38,'Smelter Look-up'!$E:$E,0)))</f>
        <v/>
      </c>
      <c r="D38" s="283"/>
      <c r="E38" s="217" t="str">
        <f ca="1">IF(ISERROR($V38),"",OFFSET('Smelter Look-up'!$D$4,$V38-4,0)&amp;"")</f>
        <v/>
      </c>
      <c r="F38" s="217" t="str">
        <f ca="1">IF(ISERROR($V38),"",OFFSET('Smelter Look-up'!$E$4,$V38-4,0))</f>
        <v/>
      </c>
      <c r="G38" s="217" t="str">
        <f ca="1">IF(C38=$X$4,"Enter smelter details",IF(ISERROR($V38),"",OFFSET('Smelter Look-up'!$F$4,$V38-4,0)))</f>
        <v/>
      </c>
      <c r="H38" s="218" t="str">
        <f ca="1">IF(ISERROR($V38),"",OFFSET('Smelter Look-up'!$G$4,$V38-4,0))</f>
        <v/>
      </c>
      <c r="I38" s="219" t="str">
        <f ca="1">IF(ISERROR($V38),"",OFFSET('Smelter Look-up'!$H$4,$V38-4,0))</f>
        <v/>
      </c>
      <c r="J38" s="219" t="str">
        <f ca="1">IF(ISERROR($V38),"",OFFSET('Smelter Look-up'!$I$4,$V38-4,0))</f>
        <v/>
      </c>
      <c r="K38" s="273"/>
      <c r="L38" s="273"/>
      <c r="M38" s="273"/>
      <c r="N38" s="273"/>
      <c r="O38" s="273"/>
      <c r="P38" s="220"/>
      <c r="Q38" s="274"/>
      <c r="R38" s="217" t="str">
        <f ca="1">IF(ISERROR($V38),"",OFFSET('Smelter Look-up'!$C$4,$V38-4,0)&amp;"")</f>
        <v/>
      </c>
      <c r="S38" s="225" t="str">
        <f t="shared" ref="S38:S68" ca="1" si="6">IF(B38="","",IF(ISERROR(MATCH($E38,CL,0)),"Unknown",INDIRECT("'C'!$A$"&amp;MATCH($E38,CL,0)+1)))</f>
        <v/>
      </c>
      <c r="T38" s="225" t="str">
        <f ca="1">IF(B38="","",IF(ISERROR(MATCH($J38,SorP!$B$1:$B$6230,0)),"",INDIRECT("'SorP'!$A$"&amp;MATCH($J38,SorP!$B$1:$B$6230,0))))</f>
        <v/>
      </c>
      <c r="U38" s="241"/>
      <c r="V38" s="275" t="e">
        <f>IF(C38="",NA(),MATCH($B38&amp;$C38,'Smelter Look-up'!$J:$J,0))</f>
        <v>#N/A</v>
      </c>
      <c r="W38" s="276"/>
      <c r="X38" s="276">
        <f t="shared" ref="X38:X68" ca="1" si="7">IF(AND(C38="Smelter not listed",OR(LEN(D38)=0,LEN(E38)=0)),1,0)</f>
        <v>0</v>
      </c>
      <c r="Y38" s="276"/>
      <c r="Z38" s="276"/>
      <c r="AB38" s="278" t="str">
        <f t="shared" ref="AB38:AB68" si="8">B38&amp;C38</f>
        <v/>
      </c>
    </row>
    <row r="39" spans="1:28" s="277" customFormat="1" ht="20.25">
      <c r="A39" s="216"/>
      <c r="B39" s="217" t="str">
        <f>IF(LEN(A39)=0,"",INDEX('Smelter Look-up'!$A:$A,MATCH($A39,'Smelter Look-up'!$E:$E,0)))</f>
        <v/>
      </c>
      <c r="C39" s="221" t="str">
        <f>IF(LEN(A39)=0,"",INDEX('Smelter Look-up'!$C:$C,MATCH($A39,'Smelter Look-up'!$E:$E,0)))</f>
        <v/>
      </c>
      <c r="D39" s="283"/>
      <c r="E39" s="217" t="str">
        <f ca="1">IF(ISERROR($V39),"",OFFSET('Smelter Look-up'!$D$4,$V39-4,0)&amp;"")</f>
        <v/>
      </c>
      <c r="F39" s="217" t="str">
        <f ca="1">IF(ISERROR($V39),"",OFFSET('Smelter Look-up'!$E$4,$V39-4,0))</f>
        <v/>
      </c>
      <c r="G39" s="217" t="str">
        <f ca="1">IF(C39=$X$4,"Enter smelter details",IF(ISERROR($V39),"",OFFSET('Smelter Look-up'!$F$4,$V39-4,0)))</f>
        <v/>
      </c>
      <c r="H39" s="218" t="str">
        <f ca="1">IF(ISERROR($V39),"",OFFSET('Smelter Look-up'!$G$4,$V39-4,0))</f>
        <v/>
      </c>
      <c r="I39" s="219" t="str">
        <f ca="1">IF(ISERROR($V39),"",OFFSET('Smelter Look-up'!$H$4,$V39-4,0))</f>
        <v/>
      </c>
      <c r="J39" s="219" t="str">
        <f ca="1">IF(ISERROR($V39),"",OFFSET('Smelter Look-up'!$I$4,$V39-4,0))</f>
        <v/>
      </c>
      <c r="K39" s="273"/>
      <c r="L39" s="273"/>
      <c r="M39" s="273"/>
      <c r="N39" s="273"/>
      <c r="O39" s="273"/>
      <c r="P39" s="220"/>
      <c r="Q39" s="274"/>
      <c r="R39" s="217" t="str">
        <f ca="1">IF(ISERROR($V39),"",OFFSET('Smelter Look-up'!$C$4,$V39-4,0)&amp;"")</f>
        <v/>
      </c>
      <c r="S39" s="225" t="str">
        <f t="shared" ca="1" si="6"/>
        <v/>
      </c>
      <c r="T39" s="225" t="str">
        <f ca="1">IF(B39="","",IF(ISERROR(MATCH($J39,SorP!$B$1:$B$6230,0)),"",INDIRECT("'SorP'!$A$"&amp;MATCH($J39,SorP!$B$1:$B$6230,0))))</f>
        <v/>
      </c>
      <c r="U39" s="241"/>
      <c r="V39" s="275" t="e">
        <f>IF(C39="",NA(),MATCH($B39&amp;$C39,'Smelter Look-up'!$J:$J,0))</f>
        <v>#N/A</v>
      </c>
      <c r="W39" s="276"/>
      <c r="X39" s="276">
        <f t="shared" ca="1" si="7"/>
        <v>0</v>
      </c>
      <c r="Y39" s="276"/>
      <c r="Z39" s="276"/>
      <c r="AB39" s="278" t="str">
        <f t="shared" si="8"/>
        <v/>
      </c>
    </row>
    <row r="40" spans="1:28" s="277" customFormat="1" ht="20.25">
      <c r="A40" s="216"/>
      <c r="B40" s="217" t="str">
        <f>IF(LEN(A40)=0,"",INDEX('Smelter Look-up'!$A:$A,MATCH($A40,'Smelter Look-up'!$E:$E,0)))</f>
        <v/>
      </c>
      <c r="C40" s="221" t="str">
        <f>IF(LEN(A40)=0,"",INDEX('Smelter Look-up'!$C:$C,MATCH($A40,'Smelter Look-up'!$E:$E,0)))</f>
        <v/>
      </c>
      <c r="D40" s="283"/>
      <c r="E40" s="217" t="str">
        <f ca="1">IF(ISERROR($V40),"",OFFSET('Smelter Look-up'!$D$4,$V40-4,0)&amp;"")</f>
        <v/>
      </c>
      <c r="F40" s="217" t="str">
        <f ca="1">IF(ISERROR($V40),"",OFFSET('Smelter Look-up'!$E$4,$V40-4,0))</f>
        <v/>
      </c>
      <c r="G40" s="217" t="str">
        <f ca="1">IF(C40=$X$4,"Enter smelter details",IF(ISERROR($V40),"",OFFSET('Smelter Look-up'!$F$4,$V40-4,0)))</f>
        <v/>
      </c>
      <c r="H40" s="218" t="str">
        <f ca="1">IF(ISERROR($V40),"",OFFSET('Smelter Look-up'!$G$4,$V40-4,0))</f>
        <v/>
      </c>
      <c r="I40" s="219" t="str">
        <f ca="1">IF(ISERROR($V40),"",OFFSET('Smelter Look-up'!$H$4,$V40-4,0))</f>
        <v/>
      </c>
      <c r="J40" s="219" t="str">
        <f ca="1">IF(ISERROR($V40),"",OFFSET('Smelter Look-up'!$I$4,$V40-4,0))</f>
        <v/>
      </c>
      <c r="K40" s="273"/>
      <c r="L40" s="273"/>
      <c r="M40" s="273"/>
      <c r="N40" s="273"/>
      <c r="O40" s="273"/>
      <c r="P40" s="220"/>
      <c r="Q40" s="274"/>
      <c r="R40" s="217" t="str">
        <f ca="1">IF(ISERROR($V40),"",OFFSET('Smelter Look-up'!$C$4,$V40-4,0)&amp;"")</f>
        <v/>
      </c>
      <c r="S40" s="225" t="str">
        <f t="shared" ca="1" si="6"/>
        <v/>
      </c>
      <c r="T40" s="225" t="str">
        <f ca="1">IF(B40="","",IF(ISERROR(MATCH($J40,SorP!$B$1:$B$6230,0)),"",INDIRECT("'SorP'!$A$"&amp;MATCH($J40,SorP!$B$1:$B$6230,0))))</f>
        <v/>
      </c>
      <c r="U40" s="241"/>
      <c r="V40" s="275" t="e">
        <f>IF(C40="",NA(),MATCH($B40&amp;$C40,'Smelter Look-up'!$J:$J,0))</f>
        <v>#N/A</v>
      </c>
      <c r="W40" s="276"/>
      <c r="X40" s="276">
        <f t="shared" ca="1" si="7"/>
        <v>0</v>
      </c>
      <c r="Y40" s="276"/>
      <c r="Z40" s="276"/>
      <c r="AB40" s="278" t="str">
        <f t="shared" si="8"/>
        <v/>
      </c>
    </row>
    <row r="41" spans="1:28" s="277" customFormat="1" ht="20.25">
      <c r="A41" s="216"/>
      <c r="B41" s="217" t="str">
        <f>IF(LEN(A41)=0,"",INDEX('Smelter Look-up'!$A:$A,MATCH($A41,'Smelter Look-up'!$E:$E,0)))</f>
        <v/>
      </c>
      <c r="C41" s="221" t="str">
        <f>IF(LEN(A41)=0,"",INDEX('Smelter Look-up'!$C:$C,MATCH($A41,'Smelter Look-up'!$E:$E,0)))</f>
        <v/>
      </c>
      <c r="D41" s="283"/>
      <c r="E41" s="217" t="str">
        <f ca="1">IF(ISERROR($V41),"",OFFSET('Smelter Look-up'!$D$4,$V41-4,0)&amp;"")</f>
        <v/>
      </c>
      <c r="F41" s="217" t="str">
        <f ca="1">IF(ISERROR($V41),"",OFFSET('Smelter Look-up'!$E$4,$V41-4,0))</f>
        <v/>
      </c>
      <c r="G41" s="217" t="str">
        <f ca="1">IF(C41=$X$4,"Enter smelter details",IF(ISERROR($V41),"",OFFSET('Smelter Look-up'!$F$4,$V41-4,0)))</f>
        <v/>
      </c>
      <c r="H41" s="218" t="str">
        <f ca="1">IF(ISERROR($V41),"",OFFSET('Smelter Look-up'!$G$4,$V41-4,0))</f>
        <v/>
      </c>
      <c r="I41" s="219" t="str">
        <f ca="1">IF(ISERROR($V41),"",OFFSET('Smelter Look-up'!$H$4,$V41-4,0))</f>
        <v/>
      </c>
      <c r="J41" s="219" t="str">
        <f ca="1">IF(ISERROR($V41),"",OFFSET('Smelter Look-up'!$I$4,$V41-4,0))</f>
        <v/>
      </c>
      <c r="K41" s="273"/>
      <c r="L41" s="273"/>
      <c r="M41" s="273"/>
      <c r="N41" s="273"/>
      <c r="O41" s="273"/>
      <c r="P41" s="220"/>
      <c r="Q41" s="274"/>
      <c r="R41" s="217" t="str">
        <f ca="1">IF(ISERROR($V41),"",OFFSET('Smelter Look-up'!$C$4,$V41-4,0)&amp;"")</f>
        <v/>
      </c>
      <c r="S41" s="225" t="str">
        <f t="shared" ca="1" si="6"/>
        <v/>
      </c>
      <c r="T41" s="225" t="str">
        <f ca="1">IF(B41="","",IF(ISERROR(MATCH($J41,SorP!$B$1:$B$6230,0)),"",INDIRECT("'SorP'!$A$"&amp;MATCH($J41,SorP!$B$1:$B$6230,0))))</f>
        <v/>
      </c>
      <c r="U41" s="241"/>
      <c r="V41" s="275" t="e">
        <f>IF(C41="",NA(),MATCH($B41&amp;$C41,'Smelter Look-up'!$J:$J,0))</f>
        <v>#N/A</v>
      </c>
      <c r="W41" s="276"/>
      <c r="X41" s="276">
        <f t="shared" ca="1" si="7"/>
        <v>0</v>
      </c>
      <c r="Y41" s="276"/>
      <c r="Z41" s="276"/>
      <c r="AB41" s="278" t="str">
        <f t="shared" si="8"/>
        <v/>
      </c>
    </row>
    <row r="42" spans="1:28" s="277" customFormat="1" ht="20.25">
      <c r="A42" s="216"/>
      <c r="B42" s="217" t="str">
        <f>IF(LEN(A42)=0,"",INDEX('Smelter Look-up'!$A:$A,MATCH($A42,'Smelter Look-up'!$E:$E,0)))</f>
        <v/>
      </c>
      <c r="C42" s="221" t="str">
        <f>IF(LEN(A42)=0,"",INDEX('Smelter Look-up'!$C:$C,MATCH($A42,'Smelter Look-up'!$E:$E,0)))</f>
        <v/>
      </c>
      <c r="D42" s="283"/>
      <c r="E42" s="217" t="str">
        <f ca="1">IF(ISERROR($V42),"",OFFSET('Smelter Look-up'!$D$4,$V42-4,0)&amp;"")</f>
        <v/>
      </c>
      <c r="F42" s="217" t="str">
        <f ca="1">IF(ISERROR($V42),"",OFFSET('Smelter Look-up'!$E$4,$V42-4,0))</f>
        <v/>
      </c>
      <c r="G42" s="217" t="str">
        <f ca="1">IF(C42=$X$4,"Enter smelter details",IF(ISERROR($V42),"",OFFSET('Smelter Look-up'!$F$4,$V42-4,0)))</f>
        <v/>
      </c>
      <c r="H42" s="218" t="str">
        <f ca="1">IF(ISERROR($V42),"",OFFSET('Smelter Look-up'!$G$4,$V42-4,0))</f>
        <v/>
      </c>
      <c r="I42" s="219" t="str">
        <f ca="1">IF(ISERROR($V42),"",OFFSET('Smelter Look-up'!$H$4,$V42-4,0))</f>
        <v/>
      </c>
      <c r="J42" s="219" t="str">
        <f ca="1">IF(ISERROR($V42),"",OFFSET('Smelter Look-up'!$I$4,$V42-4,0))</f>
        <v/>
      </c>
      <c r="K42" s="273"/>
      <c r="L42" s="273"/>
      <c r="M42" s="273"/>
      <c r="N42" s="273"/>
      <c r="O42" s="273"/>
      <c r="P42" s="220"/>
      <c r="Q42" s="274"/>
      <c r="R42" s="217" t="str">
        <f ca="1">IF(ISERROR($V42),"",OFFSET('Smelter Look-up'!$C$4,$V42-4,0)&amp;"")</f>
        <v/>
      </c>
      <c r="S42" s="225" t="str">
        <f t="shared" ca="1" si="6"/>
        <v/>
      </c>
      <c r="T42" s="225" t="str">
        <f ca="1">IF(B42="","",IF(ISERROR(MATCH($J42,SorP!$B$1:$B$6230,0)),"",INDIRECT("'SorP'!$A$"&amp;MATCH($J42,SorP!$B$1:$B$6230,0))))</f>
        <v/>
      </c>
      <c r="U42" s="241"/>
      <c r="V42" s="275" t="e">
        <f>IF(C42="",NA(),MATCH($B42&amp;$C42,'Smelter Look-up'!$J:$J,0))</f>
        <v>#N/A</v>
      </c>
      <c r="W42" s="276"/>
      <c r="X42" s="276">
        <f t="shared" ca="1" si="7"/>
        <v>0</v>
      </c>
      <c r="Y42" s="276"/>
      <c r="Z42" s="276"/>
      <c r="AB42" s="278" t="str">
        <f t="shared" si="8"/>
        <v/>
      </c>
    </row>
    <row r="43" spans="1:28" s="277" customFormat="1" ht="20.25">
      <c r="A43" s="216"/>
      <c r="B43" s="217" t="str">
        <f>IF(LEN(A43)=0,"",INDEX('Smelter Look-up'!$A:$A,MATCH($A43,'Smelter Look-up'!$E:$E,0)))</f>
        <v/>
      </c>
      <c r="C43" s="221" t="str">
        <f>IF(LEN(A43)=0,"",INDEX('Smelter Look-up'!$C:$C,MATCH($A43,'Smelter Look-up'!$E:$E,0)))</f>
        <v/>
      </c>
      <c r="D43" s="283"/>
      <c r="E43" s="217" t="str">
        <f ca="1">IF(ISERROR($V43),"",OFFSET('Smelter Look-up'!$D$4,$V43-4,0)&amp;"")</f>
        <v/>
      </c>
      <c r="F43" s="217" t="str">
        <f ca="1">IF(ISERROR($V43),"",OFFSET('Smelter Look-up'!$E$4,$V43-4,0))</f>
        <v/>
      </c>
      <c r="G43" s="217" t="str">
        <f ca="1">IF(C43=$X$4,"Enter smelter details",IF(ISERROR($V43),"",OFFSET('Smelter Look-up'!$F$4,$V43-4,0)))</f>
        <v/>
      </c>
      <c r="H43" s="218" t="str">
        <f ca="1">IF(ISERROR($V43),"",OFFSET('Smelter Look-up'!$G$4,$V43-4,0))</f>
        <v/>
      </c>
      <c r="I43" s="219" t="str">
        <f ca="1">IF(ISERROR($V43),"",OFFSET('Smelter Look-up'!$H$4,$V43-4,0))</f>
        <v/>
      </c>
      <c r="J43" s="219" t="str">
        <f ca="1">IF(ISERROR($V43),"",OFFSET('Smelter Look-up'!$I$4,$V43-4,0))</f>
        <v/>
      </c>
      <c r="K43" s="273"/>
      <c r="L43" s="273"/>
      <c r="M43" s="273"/>
      <c r="N43" s="273"/>
      <c r="O43" s="273"/>
      <c r="P43" s="220"/>
      <c r="Q43" s="274"/>
      <c r="R43" s="217" t="str">
        <f ca="1">IF(ISERROR($V43),"",OFFSET('Smelter Look-up'!$C$4,$V43-4,0)&amp;"")</f>
        <v/>
      </c>
      <c r="S43" s="225" t="str">
        <f t="shared" ca="1" si="6"/>
        <v/>
      </c>
      <c r="T43" s="225" t="str">
        <f ca="1">IF(B43="","",IF(ISERROR(MATCH($J43,SorP!$B$1:$B$6230,0)),"",INDIRECT("'SorP'!$A$"&amp;MATCH($J43,SorP!$B$1:$B$6230,0))))</f>
        <v/>
      </c>
      <c r="U43" s="241"/>
      <c r="V43" s="275" t="e">
        <f>IF(C43="",NA(),MATCH($B43&amp;$C43,'Smelter Look-up'!$J:$J,0))</f>
        <v>#N/A</v>
      </c>
      <c r="W43" s="276"/>
      <c r="X43" s="276">
        <f t="shared" ca="1" si="7"/>
        <v>0</v>
      </c>
      <c r="Y43" s="276"/>
      <c r="Z43" s="276"/>
      <c r="AB43" s="278" t="str">
        <f t="shared" si="8"/>
        <v/>
      </c>
    </row>
    <row r="44" spans="1:28" s="277" customFormat="1" ht="20.25">
      <c r="A44" s="216"/>
      <c r="B44" s="217" t="str">
        <f>IF(LEN(A44)=0,"",INDEX('Smelter Look-up'!$A:$A,MATCH($A44,'Smelter Look-up'!$E:$E,0)))</f>
        <v/>
      </c>
      <c r="C44" s="221" t="str">
        <f>IF(LEN(A44)=0,"",INDEX('Smelter Look-up'!$C:$C,MATCH($A44,'Smelter Look-up'!$E:$E,0)))</f>
        <v/>
      </c>
      <c r="D44" s="283"/>
      <c r="E44" s="217" t="str">
        <f ca="1">IF(ISERROR($V44),"",OFFSET('Smelter Look-up'!$D$4,$V44-4,0)&amp;"")</f>
        <v/>
      </c>
      <c r="F44" s="217" t="str">
        <f ca="1">IF(ISERROR($V44),"",OFFSET('Smelter Look-up'!$E$4,$V44-4,0))</f>
        <v/>
      </c>
      <c r="G44" s="217" t="str">
        <f ca="1">IF(C44=$X$4,"Enter smelter details",IF(ISERROR($V44),"",OFFSET('Smelter Look-up'!$F$4,$V44-4,0)))</f>
        <v/>
      </c>
      <c r="H44" s="218" t="str">
        <f ca="1">IF(ISERROR($V44),"",OFFSET('Smelter Look-up'!$G$4,$V44-4,0))</f>
        <v/>
      </c>
      <c r="I44" s="219" t="str">
        <f ca="1">IF(ISERROR($V44),"",OFFSET('Smelter Look-up'!$H$4,$V44-4,0))</f>
        <v/>
      </c>
      <c r="J44" s="219" t="str">
        <f ca="1">IF(ISERROR($V44),"",OFFSET('Smelter Look-up'!$I$4,$V44-4,0))</f>
        <v/>
      </c>
      <c r="K44" s="273"/>
      <c r="L44" s="273"/>
      <c r="M44" s="273"/>
      <c r="N44" s="273"/>
      <c r="O44" s="273"/>
      <c r="P44" s="220"/>
      <c r="Q44" s="274"/>
      <c r="R44" s="217" t="str">
        <f ca="1">IF(ISERROR($V44),"",OFFSET('Smelter Look-up'!$C$4,$V44-4,0)&amp;"")</f>
        <v/>
      </c>
      <c r="S44" s="225" t="str">
        <f t="shared" ca="1" si="6"/>
        <v/>
      </c>
      <c r="T44" s="225" t="str">
        <f ca="1">IF(B44="","",IF(ISERROR(MATCH($J44,SorP!$B$1:$B$6230,0)),"",INDIRECT("'SorP'!$A$"&amp;MATCH($J44,SorP!$B$1:$B$6230,0))))</f>
        <v/>
      </c>
      <c r="U44" s="241"/>
      <c r="V44" s="275" t="e">
        <f>IF(C44="",NA(),MATCH($B44&amp;$C44,'Smelter Look-up'!$J:$J,0))</f>
        <v>#N/A</v>
      </c>
      <c r="W44" s="276"/>
      <c r="X44" s="276">
        <f t="shared" ca="1" si="7"/>
        <v>0</v>
      </c>
      <c r="Y44" s="276"/>
      <c r="Z44" s="276"/>
      <c r="AB44" s="278" t="str">
        <f t="shared" si="8"/>
        <v/>
      </c>
    </row>
    <row r="45" spans="1:28" s="277" customFormat="1" ht="20.25">
      <c r="A45" s="216"/>
      <c r="B45" s="217" t="str">
        <f>IF(LEN(A45)=0,"",INDEX('Smelter Look-up'!$A:$A,MATCH($A45,'Smelter Look-up'!$E:$E,0)))</f>
        <v/>
      </c>
      <c r="C45" s="221" t="str">
        <f>IF(LEN(A45)=0,"",INDEX('Smelter Look-up'!$C:$C,MATCH($A45,'Smelter Look-up'!$E:$E,0)))</f>
        <v/>
      </c>
      <c r="D45" s="283"/>
      <c r="E45" s="217" t="str">
        <f ca="1">IF(ISERROR($V45),"",OFFSET('Smelter Look-up'!$D$4,$V45-4,0)&amp;"")</f>
        <v/>
      </c>
      <c r="F45" s="217" t="str">
        <f ca="1">IF(ISERROR($V45),"",OFFSET('Smelter Look-up'!$E$4,$V45-4,0))</f>
        <v/>
      </c>
      <c r="G45" s="217" t="str">
        <f ca="1">IF(C45=$X$4,"Enter smelter details",IF(ISERROR($V45),"",OFFSET('Smelter Look-up'!$F$4,$V45-4,0)))</f>
        <v/>
      </c>
      <c r="H45" s="218" t="str">
        <f ca="1">IF(ISERROR($V45),"",OFFSET('Smelter Look-up'!$G$4,$V45-4,0))</f>
        <v/>
      </c>
      <c r="I45" s="219" t="str">
        <f ca="1">IF(ISERROR($V45),"",OFFSET('Smelter Look-up'!$H$4,$V45-4,0))</f>
        <v/>
      </c>
      <c r="J45" s="219" t="str">
        <f ca="1">IF(ISERROR($V45),"",OFFSET('Smelter Look-up'!$I$4,$V45-4,0))</f>
        <v/>
      </c>
      <c r="K45" s="273"/>
      <c r="L45" s="273"/>
      <c r="M45" s="273"/>
      <c r="N45" s="273"/>
      <c r="O45" s="273"/>
      <c r="P45" s="220"/>
      <c r="Q45" s="274"/>
      <c r="R45" s="217" t="str">
        <f ca="1">IF(ISERROR($V45),"",OFFSET('Smelter Look-up'!$C$4,$V45-4,0)&amp;"")</f>
        <v/>
      </c>
      <c r="S45" s="225" t="str">
        <f t="shared" ca="1" si="6"/>
        <v/>
      </c>
      <c r="T45" s="225" t="str">
        <f ca="1">IF(B45="","",IF(ISERROR(MATCH($J45,SorP!$B$1:$B$6230,0)),"",INDIRECT("'SorP'!$A$"&amp;MATCH($J45,SorP!$B$1:$B$6230,0))))</f>
        <v/>
      </c>
      <c r="U45" s="241"/>
      <c r="V45" s="275" t="e">
        <f>IF(C45="",NA(),MATCH($B45&amp;$C45,'Smelter Look-up'!$J:$J,0))</f>
        <v>#N/A</v>
      </c>
      <c r="W45" s="276"/>
      <c r="X45" s="276">
        <f t="shared" ca="1" si="7"/>
        <v>0</v>
      </c>
      <c r="Y45" s="276"/>
      <c r="Z45" s="276"/>
      <c r="AB45" s="278" t="str">
        <f t="shared" si="8"/>
        <v/>
      </c>
    </row>
    <row r="46" spans="1:28" s="277" customFormat="1" ht="20.25">
      <c r="A46" s="216"/>
      <c r="B46" s="217" t="str">
        <f>IF(LEN(A46)=0,"",INDEX('Smelter Look-up'!$A:$A,MATCH($A46,'Smelter Look-up'!$E:$E,0)))</f>
        <v/>
      </c>
      <c r="C46" s="221" t="str">
        <f>IF(LEN(A46)=0,"",INDEX('Smelter Look-up'!$C:$C,MATCH($A46,'Smelter Look-up'!$E:$E,0)))</f>
        <v/>
      </c>
      <c r="D46" s="283"/>
      <c r="E46" s="217" t="str">
        <f ca="1">IF(ISERROR($V46),"",OFFSET('Smelter Look-up'!$D$4,$V46-4,0)&amp;"")</f>
        <v/>
      </c>
      <c r="F46" s="217" t="str">
        <f ca="1">IF(ISERROR($V46),"",OFFSET('Smelter Look-up'!$E$4,$V46-4,0))</f>
        <v/>
      </c>
      <c r="G46" s="217" t="str">
        <f ca="1">IF(C46=$X$4,"Enter smelter details",IF(ISERROR($V46),"",OFFSET('Smelter Look-up'!$F$4,$V46-4,0)))</f>
        <v/>
      </c>
      <c r="H46" s="218" t="str">
        <f ca="1">IF(ISERROR($V46),"",OFFSET('Smelter Look-up'!$G$4,$V46-4,0))</f>
        <v/>
      </c>
      <c r="I46" s="219" t="str">
        <f ca="1">IF(ISERROR($V46),"",OFFSET('Smelter Look-up'!$H$4,$V46-4,0))</f>
        <v/>
      </c>
      <c r="J46" s="219" t="str">
        <f ca="1">IF(ISERROR($V46),"",OFFSET('Smelter Look-up'!$I$4,$V46-4,0))</f>
        <v/>
      </c>
      <c r="K46" s="273"/>
      <c r="L46" s="273"/>
      <c r="M46" s="273"/>
      <c r="N46" s="273"/>
      <c r="O46" s="273"/>
      <c r="P46" s="220"/>
      <c r="Q46" s="274"/>
      <c r="R46" s="217" t="str">
        <f ca="1">IF(ISERROR($V46),"",OFFSET('Smelter Look-up'!$C$4,$V46-4,0)&amp;"")</f>
        <v/>
      </c>
      <c r="S46" s="225" t="str">
        <f t="shared" ca="1" si="6"/>
        <v/>
      </c>
      <c r="T46" s="225" t="str">
        <f ca="1">IF(B46="","",IF(ISERROR(MATCH($J46,SorP!$B$1:$B$6230,0)),"",INDIRECT("'SorP'!$A$"&amp;MATCH($J46,SorP!$B$1:$B$6230,0))))</f>
        <v/>
      </c>
      <c r="U46" s="241"/>
      <c r="V46" s="275" t="e">
        <f>IF(C46="",NA(),MATCH($B46&amp;$C46,'Smelter Look-up'!$J:$J,0))</f>
        <v>#N/A</v>
      </c>
      <c r="W46" s="276"/>
      <c r="X46" s="276">
        <f t="shared" ca="1" si="7"/>
        <v>0</v>
      </c>
      <c r="Y46" s="276"/>
      <c r="Z46" s="276"/>
      <c r="AB46" s="278" t="str">
        <f t="shared" si="8"/>
        <v/>
      </c>
    </row>
    <row r="47" spans="1:28" s="277" customFormat="1" ht="20.25">
      <c r="A47" s="216"/>
      <c r="B47" s="217" t="str">
        <f>IF(LEN(A47)=0,"",INDEX('Smelter Look-up'!$A:$A,MATCH($A47,'Smelter Look-up'!$E:$E,0)))</f>
        <v/>
      </c>
      <c r="C47" s="221" t="str">
        <f>IF(LEN(A47)=0,"",INDEX('Smelter Look-up'!$C:$C,MATCH($A47,'Smelter Look-up'!$E:$E,0)))</f>
        <v/>
      </c>
      <c r="D47" s="283"/>
      <c r="E47" s="217" t="str">
        <f ca="1">IF(ISERROR($V47),"",OFFSET('Smelter Look-up'!$D$4,$V47-4,0)&amp;"")</f>
        <v/>
      </c>
      <c r="F47" s="217" t="str">
        <f ca="1">IF(ISERROR($V47),"",OFFSET('Smelter Look-up'!$E$4,$V47-4,0))</f>
        <v/>
      </c>
      <c r="G47" s="217" t="str">
        <f ca="1">IF(C47=$X$4,"Enter smelter details",IF(ISERROR($V47),"",OFFSET('Smelter Look-up'!$F$4,$V47-4,0)))</f>
        <v/>
      </c>
      <c r="H47" s="218" t="str">
        <f ca="1">IF(ISERROR($V47),"",OFFSET('Smelter Look-up'!$G$4,$V47-4,0))</f>
        <v/>
      </c>
      <c r="I47" s="219" t="str">
        <f ca="1">IF(ISERROR($V47),"",OFFSET('Smelter Look-up'!$H$4,$V47-4,0))</f>
        <v/>
      </c>
      <c r="J47" s="219" t="str">
        <f ca="1">IF(ISERROR($V47),"",OFFSET('Smelter Look-up'!$I$4,$V47-4,0))</f>
        <v/>
      </c>
      <c r="K47" s="273"/>
      <c r="L47" s="273"/>
      <c r="M47" s="273"/>
      <c r="N47" s="273"/>
      <c r="O47" s="273"/>
      <c r="P47" s="220"/>
      <c r="Q47" s="274"/>
      <c r="R47" s="217" t="str">
        <f ca="1">IF(ISERROR($V47),"",OFFSET('Smelter Look-up'!$C$4,$V47-4,0)&amp;"")</f>
        <v/>
      </c>
      <c r="S47" s="225" t="str">
        <f t="shared" ca="1" si="6"/>
        <v/>
      </c>
      <c r="T47" s="225" t="str">
        <f ca="1">IF(B47="","",IF(ISERROR(MATCH($J47,SorP!$B$1:$B$6230,0)),"",INDIRECT("'SorP'!$A$"&amp;MATCH($J47,SorP!$B$1:$B$6230,0))))</f>
        <v/>
      </c>
      <c r="U47" s="241"/>
      <c r="V47" s="275" t="e">
        <f>IF(C47="",NA(),MATCH($B47&amp;$C47,'Smelter Look-up'!$J:$J,0))</f>
        <v>#N/A</v>
      </c>
      <c r="W47" s="276"/>
      <c r="X47" s="276">
        <f t="shared" ca="1" si="7"/>
        <v>0</v>
      </c>
      <c r="Y47" s="276"/>
      <c r="Z47" s="276"/>
      <c r="AB47" s="278" t="str">
        <f t="shared" si="8"/>
        <v/>
      </c>
    </row>
    <row r="48" spans="1:28" s="277" customFormat="1" ht="20.25">
      <c r="A48" s="216"/>
      <c r="B48" s="217" t="str">
        <f>IF(LEN(A48)=0,"",INDEX('Smelter Look-up'!$A:$A,MATCH($A48,'Smelter Look-up'!$E:$E,0)))</f>
        <v/>
      </c>
      <c r="C48" s="221" t="str">
        <f>IF(LEN(A48)=0,"",INDEX('Smelter Look-up'!$C:$C,MATCH($A48,'Smelter Look-up'!$E:$E,0)))</f>
        <v/>
      </c>
      <c r="D48" s="283"/>
      <c r="E48" s="217" t="str">
        <f ca="1">IF(ISERROR($V48),"",OFFSET('Smelter Look-up'!$D$4,$V48-4,0)&amp;"")</f>
        <v/>
      </c>
      <c r="F48" s="217" t="str">
        <f ca="1">IF(ISERROR($V48),"",OFFSET('Smelter Look-up'!$E$4,$V48-4,0))</f>
        <v/>
      </c>
      <c r="G48" s="217" t="str">
        <f ca="1">IF(C48=$X$4,"Enter smelter details",IF(ISERROR($V48),"",OFFSET('Smelter Look-up'!$F$4,$V48-4,0)))</f>
        <v/>
      </c>
      <c r="H48" s="218" t="str">
        <f ca="1">IF(ISERROR($V48),"",OFFSET('Smelter Look-up'!$G$4,$V48-4,0))</f>
        <v/>
      </c>
      <c r="I48" s="219" t="str">
        <f ca="1">IF(ISERROR($V48),"",OFFSET('Smelter Look-up'!$H$4,$V48-4,0))</f>
        <v/>
      </c>
      <c r="J48" s="219" t="str">
        <f ca="1">IF(ISERROR($V48),"",OFFSET('Smelter Look-up'!$I$4,$V48-4,0))</f>
        <v/>
      </c>
      <c r="K48" s="273"/>
      <c r="L48" s="273"/>
      <c r="M48" s="273"/>
      <c r="N48" s="273"/>
      <c r="O48" s="273"/>
      <c r="P48" s="220"/>
      <c r="Q48" s="274"/>
      <c r="R48" s="217" t="str">
        <f ca="1">IF(ISERROR($V48),"",OFFSET('Smelter Look-up'!$C$4,$V48-4,0)&amp;"")</f>
        <v/>
      </c>
      <c r="S48" s="225" t="str">
        <f t="shared" ca="1" si="6"/>
        <v/>
      </c>
      <c r="T48" s="225" t="str">
        <f ca="1">IF(B48="","",IF(ISERROR(MATCH($J48,SorP!$B$1:$B$6230,0)),"",INDIRECT("'SorP'!$A$"&amp;MATCH($J48,SorP!$B$1:$B$6230,0))))</f>
        <v/>
      </c>
      <c r="U48" s="241"/>
      <c r="V48" s="275" t="e">
        <f>IF(C48="",NA(),MATCH($B48&amp;$C48,'Smelter Look-up'!$J:$J,0))</f>
        <v>#N/A</v>
      </c>
      <c r="W48" s="276"/>
      <c r="X48" s="276">
        <f t="shared" ca="1" si="7"/>
        <v>0</v>
      </c>
      <c r="Y48" s="276"/>
      <c r="Z48" s="276"/>
      <c r="AB48" s="278" t="str">
        <f t="shared" si="8"/>
        <v/>
      </c>
    </row>
    <row r="49" spans="1:28" s="277" customFormat="1" ht="20.25">
      <c r="A49" s="216"/>
      <c r="B49" s="217" t="str">
        <f>IF(LEN(A49)=0,"",INDEX('Smelter Look-up'!$A:$A,MATCH($A49,'Smelter Look-up'!$E:$E,0)))</f>
        <v/>
      </c>
      <c r="C49" s="221" t="str">
        <f>IF(LEN(A49)=0,"",INDEX('Smelter Look-up'!$C:$C,MATCH($A49,'Smelter Look-up'!$E:$E,0)))</f>
        <v/>
      </c>
      <c r="D49" s="283"/>
      <c r="E49" s="217" t="str">
        <f ca="1">IF(ISERROR($V49),"",OFFSET('Smelter Look-up'!$D$4,$V49-4,0)&amp;"")</f>
        <v/>
      </c>
      <c r="F49" s="217" t="str">
        <f ca="1">IF(ISERROR($V49),"",OFFSET('Smelter Look-up'!$E$4,$V49-4,0))</f>
        <v/>
      </c>
      <c r="G49" s="217" t="str">
        <f ca="1">IF(C49=$X$4,"Enter smelter details",IF(ISERROR($V49),"",OFFSET('Smelter Look-up'!$F$4,$V49-4,0)))</f>
        <v/>
      </c>
      <c r="H49" s="218" t="str">
        <f ca="1">IF(ISERROR($V49),"",OFFSET('Smelter Look-up'!$G$4,$V49-4,0))</f>
        <v/>
      </c>
      <c r="I49" s="219" t="str">
        <f ca="1">IF(ISERROR($V49),"",OFFSET('Smelter Look-up'!$H$4,$V49-4,0))</f>
        <v/>
      </c>
      <c r="J49" s="219" t="str">
        <f ca="1">IF(ISERROR($V49),"",OFFSET('Smelter Look-up'!$I$4,$V49-4,0))</f>
        <v/>
      </c>
      <c r="K49" s="273"/>
      <c r="L49" s="273"/>
      <c r="M49" s="273"/>
      <c r="N49" s="273"/>
      <c r="O49" s="273"/>
      <c r="P49" s="220"/>
      <c r="Q49" s="274"/>
      <c r="R49" s="217" t="str">
        <f ca="1">IF(ISERROR($V49),"",OFFSET('Smelter Look-up'!$C$4,$V49-4,0)&amp;"")</f>
        <v/>
      </c>
      <c r="S49" s="225" t="str">
        <f t="shared" ca="1" si="6"/>
        <v/>
      </c>
      <c r="T49" s="225" t="str">
        <f ca="1">IF(B49="","",IF(ISERROR(MATCH($J49,SorP!$B$1:$B$6230,0)),"",INDIRECT("'SorP'!$A$"&amp;MATCH($J49,SorP!$B$1:$B$6230,0))))</f>
        <v/>
      </c>
      <c r="U49" s="241"/>
      <c r="V49" s="275" t="e">
        <f>IF(C49="",NA(),MATCH($B49&amp;$C49,'Smelter Look-up'!$J:$J,0))</f>
        <v>#N/A</v>
      </c>
      <c r="W49" s="276"/>
      <c r="X49" s="276">
        <f t="shared" ca="1" si="7"/>
        <v>0</v>
      </c>
      <c r="Y49" s="276"/>
      <c r="Z49" s="276"/>
      <c r="AB49" s="278" t="str">
        <f t="shared" si="8"/>
        <v/>
      </c>
    </row>
    <row r="50" spans="1:28" s="277" customFormat="1" ht="20.25">
      <c r="A50" s="216"/>
      <c r="B50" s="217" t="str">
        <f>IF(LEN(A50)=0,"",INDEX('Smelter Look-up'!$A:$A,MATCH($A50,'Smelter Look-up'!$E:$E,0)))</f>
        <v/>
      </c>
      <c r="C50" s="221" t="str">
        <f>IF(LEN(A50)=0,"",INDEX('Smelter Look-up'!$C:$C,MATCH($A50,'Smelter Look-up'!$E:$E,0)))</f>
        <v/>
      </c>
      <c r="D50" s="283"/>
      <c r="E50" s="217" t="str">
        <f ca="1">IF(ISERROR($V50),"",OFFSET('Smelter Look-up'!$D$4,$V50-4,0)&amp;"")</f>
        <v/>
      </c>
      <c r="F50" s="217" t="str">
        <f ca="1">IF(ISERROR($V50),"",OFFSET('Smelter Look-up'!$E$4,$V50-4,0))</f>
        <v/>
      </c>
      <c r="G50" s="217" t="str">
        <f ca="1">IF(C50=$X$4,"Enter smelter details",IF(ISERROR($V50),"",OFFSET('Smelter Look-up'!$F$4,$V50-4,0)))</f>
        <v/>
      </c>
      <c r="H50" s="218" t="str">
        <f ca="1">IF(ISERROR($V50),"",OFFSET('Smelter Look-up'!$G$4,$V50-4,0))</f>
        <v/>
      </c>
      <c r="I50" s="219" t="str">
        <f ca="1">IF(ISERROR($V50),"",OFFSET('Smelter Look-up'!$H$4,$V50-4,0))</f>
        <v/>
      </c>
      <c r="J50" s="219" t="str">
        <f ca="1">IF(ISERROR($V50),"",OFFSET('Smelter Look-up'!$I$4,$V50-4,0))</f>
        <v/>
      </c>
      <c r="K50" s="273"/>
      <c r="L50" s="273"/>
      <c r="M50" s="273"/>
      <c r="N50" s="273"/>
      <c r="O50" s="273"/>
      <c r="P50" s="220"/>
      <c r="Q50" s="274"/>
      <c r="R50" s="217" t="str">
        <f ca="1">IF(ISERROR($V50),"",OFFSET('Smelter Look-up'!$C$4,$V50-4,0)&amp;"")</f>
        <v/>
      </c>
      <c r="S50" s="225" t="str">
        <f t="shared" ca="1" si="6"/>
        <v/>
      </c>
      <c r="T50" s="225" t="str">
        <f ca="1">IF(B50="","",IF(ISERROR(MATCH($J50,SorP!$B$1:$B$6230,0)),"",INDIRECT("'SorP'!$A$"&amp;MATCH($J50,SorP!$B$1:$B$6230,0))))</f>
        <v/>
      </c>
      <c r="U50" s="241"/>
      <c r="V50" s="275" t="e">
        <f>IF(C50="",NA(),MATCH($B50&amp;$C50,'Smelter Look-up'!$J:$J,0))</f>
        <v>#N/A</v>
      </c>
      <c r="W50" s="276"/>
      <c r="X50" s="276">
        <f t="shared" ca="1" si="7"/>
        <v>0</v>
      </c>
      <c r="Y50" s="276"/>
      <c r="Z50" s="276"/>
      <c r="AB50" s="278" t="str">
        <f t="shared" si="8"/>
        <v/>
      </c>
    </row>
    <row r="51" spans="1:28" s="277" customFormat="1" ht="20.25">
      <c r="A51" s="216"/>
      <c r="B51" s="217" t="str">
        <f>IF(LEN(A51)=0,"",INDEX('Smelter Look-up'!$A:$A,MATCH($A51,'Smelter Look-up'!$E:$E,0)))</f>
        <v/>
      </c>
      <c r="C51" s="221" t="str">
        <f>IF(LEN(A51)=0,"",INDEX('Smelter Look-up'!$C:$C,MATCH($A51,'Smelter Look-up'!$E:$E,0)))</f>
        <v/>
      </c>
      <c r="D51" s="283"/>
      <c r="E51" s="217" t="str">
        <f ca="1">IF(ISERROR($V51),"",OFFSET('Smelter Look-up'!$D$4,$V51-4,0)&amp;"")</f>
        <v/>
      </c>
      <c r="F51" s="217" t="str">
        <f ca="1">IF(ISERROR($V51),"",OFFSET('Smelter Look-up'!$E$4,$V51-4,0))</f>
        <v/>
      </c>
      <c r="G51" s="217" t="str">
        <f ca="1">IF(C51=$X$4,"Enter smelter details",IF(ISERROR($V51),"",OFFSET('Smelter Look-up'!$F$4,$V51-4,0)))</f>
        <v/>
      </c>
      <c r="H51" s="218" t="str">
        <f ca="1">IF(ISERROR($V51),"",OFFSET('Smelter Look-up'!$G$4,$V51-4,0))</f>
        <v/>
      </c>
      <c r="I51" s="219" t="str">
        <f ca="1">IF(ISERROR($V51),"",OFFSET('Smelter Look-up'!$H$4,$V51-4,0))</f>
        <v/>
      </c>
      <c r="J51" s="219" t="str">
        <f ca="1">IF(ISERROR($V51),"",OFFSET('Smelter Look-up'!$I$4,$V51-4,0))</f>
        <v/>
      </c>
      <c r="K51" s="273"/>
      <c r="L51" s="273"/>
      <c r="M51" s="273"/>
      <c r="N51" s="273"/>
      <c r="O51" s="273"/>
      <c r="P51" s="220"/>
      <c r="Q51" s="274"/>
      <c r="R51" s="217" t="str">
        <f ca="1">IF(ISERROR($V51),"",OFFSET('Smelter Look-up'!$C$4,$V51-4,0)&amp;"")</f>
        <v/>
      </c>
      <c r="S51" s="225" t="str">
        <f t="shared" ca="1" si="6"/>
        <v/>
      </c>
      <c r="T51" s="225" t="str">
        <f ca="1">IF(B51="","",IF(ISERROR(MATCH($J51,SorP!$B$1:$B$6230,0)),"",INDIRECT("'SorP'!$A$"&amp;MATCH($J51,SorP!$B$1:$B$6230,0))))</f>
        <v/>
      </c>
      <c r="U51" s="241"/>
      <c r="V51" s="275" t="e">
        <f>IF(C51="",NA(),MATCH($B51&amp;$C51,'Smelter Look-up'!$J:$J,0))</f>
        <v>#N/A</v>
      </c>
      <c r="W51" s="276"/>
      <c r="X51" s="276">
        <f t="shared" ca="1" si="7"/>
        <v>0</v>
      </c>
      <c r="Y51" s="276"/>
      <c r="Z51" s="276"/>
      <c r="AB51" s="278" t="str">
        <f t="shared" si="8"/>
        <v/>
      </c>
    </row>
    <row r="52" spans="1:28" s="277" customFormat="1" ht="20.25">
      <c r="A52" s="216"/>
      <c r="B52" s="217" t="str">
        <f>IF(LEN(A52)=0,"",INDEX('Smelter Look-up'!$A:$A,MATCH($A52,'Smelter Look-up'!$E:$E,0)))</f>
        <v/>
      </c>
      <c r="C52" s="221" t="str">
        <f>IF(LEN(A52)=0,"",INDEX('Smelter Look-up'!$C:$C,MATCH($A52,'Smelter Look-up'!$E:$E,0)))</f>
        <v/>
      </c>
      <c r="D52" s="283"/>
      <c r="E52" s="217" t="str">
        <f ca="1">IF(ISERROR($V52),"",OFFSET('Smelter Look-up'!$D$4,$V52-4,0)&amp;"")</f>
        <v/>
      </c>
      <c r="F52" s="217" t="str">
        <f ca="1">IF(ISERROR($V52),"",OFFSET('Smelter Look-up'!$E$4,$V52-4,0))</f>
        <v/>
      </c>
      <c r="G52" s="217" t="str">
        <f ca="1">IF(C52=$X$4,"Enter smelter details",IF(ISERROR($V52),"",OFFSET('Smelter Look-up'!$F$4,$V52-4,0)))</f>
        <v/>
      </c>
      <c r="H52" s="218" t="str">
        <f ca="1">IF(ISERROR($V52),"",OFFSET('Smelter Look-up'!$G$4,$V52-4,0))</f>
        <v/>
      </c>
      <c r="I52" s="219" t="str">
        <f ca="1">IF(ISERROR($V52),"",OFFSET('Smelter Look-up'!$H$4,$V52-4,0))</f>
        <v/>
      </c>
      <c r="J52" s="219" t="str">
        <f ca="1">IF(ISERROR($V52),"",OFFSET('Smelter Look-up'!$I$4,$V52-4,0))</f>
        <v/>
      </c>
      <c r="K52" s="273"/>
      <c r="L52" s="273"/>
      <c r="M52" s="273"/>
      <c r="N52" s="273"/>
      <c r="O52" s="273"/>
      <c r="P52" s="220"/>
      <c r="Q52" s="274"/>
      <c r="R52" s="217" t="str">
        <f ca="1">IF(ISERROR($V52),"",OFFSET('Smelter Look-up'!$C$4,$V52-4,0)&amp;"")</f>
        <v/>
      </c>
      <c r="S52" s="225" t="str">
        <f t="shared" ca="1" si="6"/>
        <v/>
      </c>
      <c r="T52" s="225" t="str">
        <f ca="1">IF(B52="","",IF(ISERROR(MATCH($J52,SorP!$B$1:$B$6230,0)),"",INDIRECT("'SorP'!$A$"&amp;MATCH($J52,SorP!$B$1:$B$6230,0))))</f>
        <v/>
      </c>
      <c r="U52" s="241"/>
      <c r="V52" s="275" t="e">
        <f>IF(C52="",NA(),MATCH($B52&amp;$C52,'Smelter Look-up'!$J:$J,0))</f>
        <v>#N/A</v>
      </c>
      <c r="W52" s="276"/>
      <c r="X52" s="276">
        <f t="shared" ca="1" si="7"/>
        <v>0</v>
      </c>
      <c r="Y52" s="276"/>
      <c r="Z52" s="276"/>
      <c r="AB52" s="278" t="str">
        <f t="shared" si="8"/>
        <v/>
      </c>
    </row>
    <row r="53" spans="1:28" s="277" customFormat="1" ht="20.25">
      <c r="A53" s="216"/>
      <c r="B53" s="217" t="str">
        <f>IF(LEN(A53)=0,"",INDEX('Smelter Look-up'!$A:$A,MATCH($A53,'Smelter Look-up'!$E:$E,0)))</f>
        <v/>
      </c>
      <c r="C53" s="221" t="str">
        <f>IF(LEN(A53)=0,"",INDEX('Smelter Look-up'!$C:$C,MATCH($A53,'Smelter Look-up'!$E:$E,0)))</f>
        <v/>
      </c>
      <c r="D53" s="283"/>
      <c r="E53" s="217" t="str">
        <f ca="1">IF(ISERROR($V53),"",OFFSET('Smelter Look-up'!$D$4,$V53-4,0)&amp;"")</f>
        <v/>
      </c>
      <c r="F53" s="217" t="str">
        <f ca="1">IF(ISERROR($V53),"",OFFSET('Smelter Look-up'!$E$4,$V53-4,0))</f>
        <v/>
      </c>
      <c r="G53" s="217" t="str">
        <f ca="1">IF(C53=$X$4,"Enter smelter details",IF(ISERROR($V53),"",OFFSET('Smelter Look-up'!$F$4,$V53-4,0)))</f>
        <v/>
      </c>
      <c r="H53" s="218" t="str">
        <f ca="1">IF(ISERROR($V53),"",OFFSET('Smelter Look-up'!$G$4,$V53-4,0))</f>
        <v/>
      </c>
      <c r="I53" s="219" t="str">
        <f ca="1">IF(ISERROR($V53),"",OFFSET('Smelter Look-up'!$H$4,$V53-4,0))</f>
        <v/>
      </c>
      <c r="J53" s="219" t="str">
        <f ca="1">IF(ISERROR($V53),"",OFFSET('Smelter Look-up'!$I$4,$V53-4,0))</f>
        <v/>
      </c>
      <c r="K53" s="273"/>
      <c r="L53" s="273"/>
      <c r="M53" s="273"/>
      <c r="N53" s="273"/>
      <c r="O53" s="273"/>
      <c r="P53" s="220"/>
      <c r="Q53" s="274"/>
      <c r="R53" s="217" t="str">
        <f ca="1">IF(ISERROR($V53),"",OFFSET('Smelter Look-up'!$C$4,$V53-4,0)&amp;"")</f>
        <v/>
      </c>
      <c r="S53" s="225" t="str">
        <f t="shared" ca="1" si="6"/>
        <v/>
      </c>
      <c r="T53" s="225" t="str">
        <f ca="1">IF(B53="","",IF(ISERROR(MATCH($J53,SorP!$B$1:$B$6230,0)),"",INDIRECT("'SorP'!$A$"&amp;MATCH($J53,SorP!$B$1:$B$6230,0))))</f>
        <v/>
      </c>
      <c r="U53" s="241"/>
      <c r="V53" s="275" t="e">
        <f>IF(C53="",NA(),MATCH($B53&amp;$C53,'Smelter Look-up'!$J:$J,0))</f>
        <v>#N/A</v>
      </c>
      <c r="W53" s="276"/>
      <c r="X53" s="276">
        <f t="shared" ca="1" si="7"/>
        <v>0</v>
      </c>
      <c r="Y53" s="276"/>
      <c r="Z53" s="276"/>
      <c r="AB53" s="278" t="str">
        <f t="shared" si="8"/>
        <v/>
      </c>
    </row>
    <row r="54" spans="1:28" s="277" customFormat="1" ht="20.25">
      <c r="A54" s="216"/>
      <c r="B54" s="217" t="str">
        <f>IF(LEN(A54)=0,"",INDEX('Smelter Look-up'!$A:$A,MATCH($A54,'Smelter Look-up'!$E:$E,0)))</f>
        <v/>
      </c>
      <c r="C54" s="221" t="str">
        <f>IF(LEN(A54)=0,"",INDEX('Smelter Look-up'!$C:$C,MATCH($A54,'Smelter Look-up'!$E:$E,0)))</f>
        <v/>
      </c>
      <c r="D54" s="283"/>
      <c r="E54" s="217" t="str">
        <f ca="1">IF(ISERROR($V54),"",OFFSET('Smelter Look-up'!$D$4,$V54-4,0)&amp;"")</f>
        <v/>
      </c>
      <c r="F54" s="217" t="str">
        <f ca="1">IF(ISERROR($V54),"",OFFSET('Smelter Look-up'!$E$4,$V54-4,0))</f>
        <v/>
      </c>
      <c r="G54" s="217" t="str">
        <f ca="1">IF(C54=$X$4,"Enter smelter details",IF(ISERROR($V54),"",OFFSET('Smelter Look-up'!$F$4,$V54-4,0)))</f>
        <v/>
      </c>
      <c r="H54" s="218" t="str">
        <f ca="1">IF(ISERROR($V54),"",OFFSET('Smelter Look-up'!$G$4,$V54-4,0))</f>
        <v/>
      </c>
      <c r="I54" s="219" t="str">
        <f ca="1">IF(ISERROR($V54),"",OFFSET('Smelter Look-up'!$H$4,$V54-4,0))</f>
        <v/>
      </c>
      <c r="J54" s="219" t="str">
        <f ca="1">IF(ISERROR($V54),"",OFFSET('Smelter Look-up'!$I$4,$V54-4,0))</f>
        <v/>
      </c>
      <c r="K54" s="273"/>
      <c r="L54" s="273"/>
      <c r="M54" s="273"/>
      <c r="N54" s="273"/>
      <c r="O54" s="273"/>
      <c r="P54" s="220"/>
      <c r="Q54" s="274"/>
      <c r="R54" s="217" t="str">
        <f ca="1">IF(ISERROR($V54),"",OFFSET('Smelter Look-up'!$C$4,$V54-4,0)&amp;"")</f>
        <v/>
      </c>
      <c r="S54" s="225" t="str">
        <f t="shared" ca="1" si="6"/>
        <v/>
      </c>
      <c r="T54" s="225" t="str">
        <f ca="1">IF(B54="","",IF(ISERROR(MATCH($J54,SorP!$B$1:$B$6230,0)),"",INDIRECT("'SorP'!$A$"&amp;MATCH($J54,SorP!$B$1:$B$6230,0))))</f>
        <v/>
      </c>
      <c r="U54" s="241"/>
      <c r="V54" s="275" t="e">
        <f>IF(C54="",NA(),MATCH($B54&amp;$C54,'Smelter Look-up'!$J:$J,0))</f>
        <v>#N/A</v>
      </c>
      <c r="W54" s="276"/>
      <c r="X54" s="276">
        <f t="shared" ca="1" si="7"/>
        <v>0</v>
      </c>
      <c r="Y54" s="276"/>
      <c r="Z54" s="276"/>
      <c r="AB54" s="278" t="str">
        <f t="shared" si="8"/>
        <v/>
      </c>
    </row>
    <row r="55" spans="1:28" s="277" customFormat="1" ht="20.25">
      <c r="A55" s="216"/>
      <c r="B55" s="217" t="str">
        <f>IF(LEN(A55)=0,"",INDEX('Smelter Look-up'!$A:$A,MATCH($A55,'Smelter Look-up'!$E:$E,0)))</f>
        <v/>
      </c>
      <c r="C55" s="221" t="str">
        <f>IF(LEN(A55)=0,"",INDEX('Smelter Look-up'!$C:$C,MATCH($A55,'Smelter Look-up'!$E:$E,0)))</f>
        <v/>
      </c>
      <c r="D55" s="283"/>
      <c r="E55" s="217" t="str">
        <f ca="1">IF(ISERROR($V55),"",OFFSET('Smelter Look-up'!$D$4,$V55-4,0)&amp;"")</f>
        <v/>
      </c>
      <c r="F55" s="217" t="str">
        <f ca="1">IF(ISERROR($V55),"",OFFSET('Smelter Look-up'!$E$4,$V55-4,0))</f>
        <v/>
      </c>
      <c r="G55" s="217" t="str">
        <f ca="1">IF(C55=$X$4,"Enter smelter details",IF(ISERROR($V55),"",OFFSET('Smelter Look-up'!$F$4,$V55-4,0)))</f>
        <v/>
      </c>
      <c r="H55" s="218" t="str">
        <f ca="1">IF(ISERROR($V55),"",OFFSET('Smelter Look-up'!$G$4,$V55-4,0))</f>
        <v/>
      </c>
      <c r="I55" s="219" t="str">
        <f ca="1">IF(ISERROR($V55),"",OFFSET('Smelter Look-up'!$H$4,$V55-4,0))</f>
        <v/>
      </c>
      <c r="J55" s="219" t="str">
        <f ca="1">IF(ISERROR($V55),"",OFFSET('Smelter Look-up'!$I$4,$V55-4,0))</f>
        <v/>
      </c>
      <c r="K55" s="273"/>
      <c r="L55" s="273"/>
      <c r="M55" s="273"/>
      <c r="N55" s="273"/>
      <c r="O55" s="273"/>
      <c r="P55" s="220"/>
      <c r="Q55" s="274"/>
      <c r="R55" s="217" t="str">
        <f ca="1">IF(ISERROR($V55),"",OFFSET('Smelter Look-up'!$C$4,$V55-4,0)&amp;"")</f>
        <v/>
      </c>
      <c r="S55" s="225" t="str">
        <f t="shared" ca="1" si="6"/>
        <v/>
      </c>
      <c r="T55" s="225" t="str">
        <f ca="1">IF(B55="","",IF(ISERROR(MATCH($J55,SorP!$B$1:$B$6230,0)),"",INDIRECT("'SorP'!$A$"&amp;MATCH($J55,SorP!$B$1:$B$6230,0))))</f>
        <v/>
      </c>
      <c r="U55" s="241"/>
      <c r="V55" s="275" t="e">
        <f>IF(C55="",NA(),MATCH($B55&amp;$C55,'Smelter Look-up'!$J:$J,0))</f>
        <v>#N/A</v>
      </c>
      <c r="W55" s="276"/>
      <c r="X55" s="276">
        <f t="shared" ca="1" si="7"/>
        <v>0</v>
      </c>
      <c r="Y55" s="276"/>
      <c r="Z55" s="276"/>
      <c r="AB55" s="278" t="str">
        <f t="shared" si="8"/>
        <v/>
      </c>
    </row>
    <row r="56" spans="1:28" s="277" customFormat="1" ht="20.25">
      <c r="A56" s="216"/>
      <c r="B56" s="217" t="str">
        <f>IF(LEN(A56)=0,"",INDEX('Smelter Look-up'!$A:$A,MATCH($A56,'Smelter Look-up'!$E:$E,0)))</f>
        <v/>
      </c>
      <c r="C56" s="221" t="str">
        <f>IF(LEN(A56)=0,"",INDEX('Smelter Look-up'!$C:$C,MATCH($A56,'Smelter Look-up'!$E:$E,0)))</f>
        <v/>
      </c>
      <c r="D56" s="283"/>
      <c r="E56" s="217" t="str">
        <f ca="1">IF(ISERROR($V56),"",OFFSET('Smelter Look-up'!$D$4,$V56-4,0)&amp;"")</f>
        <v/>
      </c>
      <c r="F56" s="217" t="str">
        <f ca="1">IF(ISERROR($V56),"",OFFSET('Smelter Look-up'!$E$4,$V56-4,0))</f>
        <v/>
      </c>
      <c r="G56" s="217" t="str">
        <f ca="1">IF(C56=$X$4,"Enter smelter details",IF(ISERROR($V56),"",OFFSET('Smelter Look-up'!$F$4,$V56-4,0)))</f>
        <v/>
      </c>
      <c r="H56" s="218" t="str">
        <f ca="1">IF(ISERROR($V56),"",OFFSET('Smelter Look-up'!$G$4,$V56-4,0))</f>
        <v/>
      </c>
      <c r="I56" s="219" t="str">
        <f ca="1">IF(ISERROR($V56),"",OFFSET('Smelter Look-up'!$H$4,$V56-4,0))</f>
        <v/>
      </c>
      <c r="J56" s="219" t="str">
        <f ca="1">IF(ISERROR($V56),"",OFFSET('Smelter Look-up'!$I$4,$V56-4,0))</f>
        <v/>
      </c>
      <c r="K56" s="273"/>
      <c r="L56" s="273"/>
      <c r="M56" s="273"/>
      <c r="N56" s="273"/>
      <c r="O56" s="273"/>
      <c r="P56" s="220"/>
      <c r="Q56" s="274"/>
      <c r="R56" s="217" t="str">
        <f ca="1">IF(ISERROR($V56),"",OFFSET('Smelter Look-up'!$C$4,$V56-4,0)&amp;"")</f>
        <v/>
      </c>
      <c r="S56" s="225" t="str">
        <f t="shared" ca="1" si="6"/>
        <v/>
      </c>
      <c r="T56" s="225" t="str">
        <f ca="1">IF(B56="","",IF(ISERROR(MATCH($J56,SorP!$B$1:$B$6230,0)),"",INDIRECT("'SorP'!$A$"&amp;MATCH($J56,SorP!$B$1:$B$6230,0))))</f>
        <v/>
      </c>
      <c r="U56" s="241"/>
      <c r="V56" s="275" t="e">
        <f>IF(C56="",NA(),MATCH($B56&amp;$C56,'Smelter Look-up'!$J:$J,0))</f>
        <v>#N/A</v>
      </c>
      <c r="W56" s="276"/>
      <c r="X56" s="276">
        <f t="shared" ca="1" si="7"/>
        <v>0</v>
      </c>
      <c r="Y56" s="276"/>
      <c r="Z56" s="276"/>
      <c r="AB56" s="278" t="str">
        <f t="shared" si="8"/>
        <v/>
      </c>
    </row>
    <row r="57" spans="1:28" s="277" customFormat="1" ht="20.25">
      <c r="A57" s="216"/>
      <c r="B57" s="217" t="str">
        <f>IF(LEN(A57)=0,"",INDEX('Smelter Look-up'!$A:$A,MATCH($A57,'Smelter Look-up'!$E:$E,0)))</f>
        <v/>
      </c>
      <c r="C57" s="221" t="str">
        <f>IF(LEN(A57)=0,"",INDEX('Smelter Look-up'!$C:$C,MATCH($A57,'Smelter Look-up'!$E:$E,0)))</f>
        <v/>
      </c>
      <c r="D57" s="283"/>
      <c r="E57" s="217" t="str">
        <f ca="1">IF(ISERROR($V57),"",OFFSET('Smelter Look-up'!$D$4,$V57-4,0)&amp;"")</f>
        <v/>
      </c>
      <c r="F57" s="217" t="str">
        <f ca="1">IF(ISERROR($V57),"",OFFSET('Smelter Look-up'!$E$4,$V57-4,0))</f>
        <v/>
      </c>
      <c r="G57" s="217" t="str">
        <f ca="1">IF(C57=$X$4,"Enter smelter details",IF(ISERROR($V57),"",OFFSET('Smelter Look-up'!$F$4,$V57-4,0)))</f>
        <v/>
      </c>
      <c r="H57" s="218" t="str">
        <f ca="1">IF(ISERROR($V57),"",OFFSET('Smelter Look-up'!$G$4,$V57-4,0))</f>
        <v/>
      </c>
      <c r="I57" s="219" t="str">
        <f ca="1">IF(ISERROR($V57),"",OFFSET('Smelter Look-up'!$H$4,$V57-4,0))</f>
        <v/>
      </c>
      <c r="J57" s="219" t="str">
        <f ca="1">IF(ISERROR($V57),"",OFFSET('Smelter Look-up'!$I$4,$V57-4,0))</f>
        <v/>
      </c>
      <c r="K57" s="273"/>
      <c r="L57" s="273"/>
      <c r="M57" s="273"/>
      <c r="N57" s="273"/>
      <c r="O57" s="273"/>
      <c r="P57" s="220"/>
      <c r="Q57" s="274"/>
      <c r="R57" s="217" t="str">
        <f ca="1">IF(ISERROR($V57),"",OFFSET('Smelter Look-up'!$C$4,$V57-4,0)&amp;"")</f>
        <v/>
      </c>
      <c r="S57" s="225" t="str">
        <f t="shared" ca="1" si="6"/>
        <v/>
      </c>
      <c r="T57" s="225" t="str">
        <f ca="1">IF(B57="","",IF(ISERROR(MATCH($J57,SorP!$B$1:$B$6230,0)),"",INDIRECT("'SorP'!$A$"&amp;MATCH($J57,SorP!$B$1:$B$6230,0))))</f>
        <v/>
      </c>
      <c r="U57" s="241"/>
      <c r="V57" s="275" t="e">
        <f>IF(C57="",NA(),MATCH($B57&amp;$C57,'Smelter Look-up'!$J:$J,0))</f>
        <v>#N/A</v>
      </c>
      <c r="W57" s="276"/>
      <c r="X57" s="276">
        <f t="shared" ca="1" si="7"/>
        <v>0</v>
      </c>
      <c r="Y57" s="276"/>
      <c r="Z57" s="276"/>
      <c r="AB57" s="278" t="str">
        <f t="shared" si="8"/>
        <v/>
      </c>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ca="1" si="6"/>
        <v/>
      </c>
      <c r="T58" s="225" t="str">
        <f ca="1">IF(B58="","",IF(ISERROR(MATCH($J58,SorP!$B$1:$B$6230,0)),"",INDIRECT("'SorP'!$A$"&amp;MATCH($J58,SorP!$B$1:$B$6230,0))))</f>
        <v/>
      </c>
      <c r="U58" s="241"/>
      <c r="V58" s="275" t="e">
        <f>IF(C58="",NA(),MATCH($B58&amp;$C58,'Smelter Look-up'!$J:$J,0))</f>
        <v>#N/A</v>
      </c>
      <c r="W58" s="276"/>
      <c r="X58" s="276">
        <f t="shared" ca="1" si="7"/>
        <v>0</v>
      </c>
      <c r="Y58" s="276"/>
      <c r="Z58" s="276"/>
      <c r="AB58" s="278" t="str">
        <f t="shared" si="8"/>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Bridgelux,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t="str">
        <f>Declaration!D10</f>
        <v>Company-wide</v>
      </c>
      <c r="C6" s="102" t="str">
        <f ca="1">IF(H6=1,J6,I6)</f>
        <v>Complete</v>
      </c>
      <c r="D6" s="108" t="str">
        <f>IF(H6=1,"Click here to provide a Description of Scope","")</f>
        <v/>
      </c>
      <c r="E6" s="84" t="s">
        <v>1330</v>
      </c>
      <c r="F6" s="107">
        <f>IF(OR(B5=Declaration!P9,B5=Declaration!Q9,B5=0),0,1)</f>
        <v>0</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Vivek Chidambaram</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vivekchidambaram@bridgelux.com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925-583-8522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Dr. Frank Hu</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frankhu@bridgelux.com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44032</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Unknown</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Unknown</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f>IF(AND($B$16="Yes",$B$21="Yes"),Declaration!D58,0)</f>
        <v>1</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http://www.bridgelux.com/sites/default/files/Bridgelux_-Inc_Purchase_Order_PO_Terms_and_Conditions-7.31.2013-Final.pdf</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1</v>
      </c>
      <c r="G67" s="81">
        <f ca="1">IF(AND(COUNTIF(SmelterIdetifiedForMetal,"Gold")&gt;0,COUNTIF('Smelter List'!AB$5:AB$2504,"Gold?*")&gt;0),0,1)</f>
        <v>0</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schemas.microsoft.com/office/infopath/2007/PartnerControls"/>
    <ds:schemaRef ds:uri="http://www.w3.org/XML/1998/namespace"/>
    <ds:schemaRef ds:uri="http://schemas.openxmlformats.org/package/2006/metadata/core-properties"/>
    <ds:schemaRef ds:uri="http://purl.org/dc/elements/1.1/"/>
    <ds:schemaRef ds:uri="060324a1-f66f-4c36-a8ec-beadbf2f4219"/>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Updated based on Avnet email 20201208</cp:keywords>
  <dc:description/>
  <cp:lastModifiedBy>Vivek Chidambaram</cp:lastModifiedBy>
  <cp:lastPrinted>2015-04-21T20:47:43Z</cp:lastPrinted>
  <dcterms:created xsi:type="dcterms:W3CDTF">2010-06-21T21:00:23Z</dcterms:created>
  <dcterms:modified xsi:type="dcterms:W3CDTF">2020-12-08T19:01:32Z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