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AD4E" lockStructure="1"/>
  <bookViews>
    <workbookView xWindow="3390" yWindow="285" windowWidth="3405" windowHeight="7860" tabRatio="704" activeTab="1"/>
  </bookViews>
  <sheets>
    <sheet name="User Guide" sheetId="22" r:id="rId1"/>
    <sheet name="Simulator" sheetId="2" r:id="rId2"/>
    <sheet name="Master Table" sheetId="8" state="hidden" r:id="rId3"/>
    <sheet name="Part Numbers" sheetId="10" state="hidden" r:id="rId4"/>
    <sheet name="Calculations" sheetId="9" state="hidden" r:id="rId5"/>
  </sheets>
  <externalReferences>
    <externalReference r:id="rId6"/>
    <externalReference r:id="rId7"/>
    <externalReference r:id="rId8"/>
  </externalReferences>
  <definedNames>
    <definedName name="ABCD">[1]Data!$N$37:$O$56</definedName>
    <definedName name="CCTCRIDropDown" localSheetId="0">[2]!CCT_CRI32354[CCT/CRI]</definedName>
    <definedName name="CCTCRIDropDown">[3]!CCT_CRI32354[CCT/CRI]</definedName>
    <definedName name="ExpirationDate">[2]Simulator!#REF!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V_10_85DC_Factor">[2]Data!$AI$26:$AJ$35</definedName>
    <definedName name="V_15_85DC_Factor">[2]Data!$AL$26:$AM$35</definedName>
    <definedName name="V_6_85DC_Factor">[2]Data!$AB$26:$AC$35</definedName>
    <definedName name="V_8_85DC_Factor">[2]Data!$AF$26:$AG$35</definedName>
    <definedName name="Vero10_85DC_Factor">[2]Data!$AB$3:$AC$22</definedName>
    <definedName name="Vero13_85DC_Factor">[2]Data!$AF$3:$AG$22</definedName>
    <definedName name="Vero18_85DC_Factor">[2]Data!$AI$3:$AJ$22</definedName>
    <definedName name="Vero29_85DC_Factor">[2]Data!$AL$3:$AM$22</definedName>
  </definedNames>
  <calcPr calcId="145621"/>
</workbook>
</file>

<file path=xl/calcChain.xml><?xml version="1.0" encoding="utf-8"?>
<calcChain xmlns="http://schemas.openxmlformats.org/spreadsheetml/2006/main">
  <c r="I7" i="8" l="1"/>
  <c r="H7" i="8"/>
  <c r="AK41" i="8" l="1"/>
  <c r="AK42" i="8"/>
  <c r="AK43" i="8"/>
  <c r="AK44" i="8"/>
  <c r="M41" i="8"/>
  <c r="M42" i="8"/>
  <c r="M43" i="8"/>
  <c r="M44" i="8"/>
  <c r="I44" i="8"/>
  <c r="H44" i="8"/>
  <c r="I43" i="8"/>
  <c r="H43" i="8"/>
  <c r="I42" i="8"/>
  <c r="H42" i="8"/>
  <c r="I41" i="8"/>
  <c r="H41" i="8"/>
  <c r="AK28" i="8"/>
  <c r="AK29" i="8"/>
  <c r="M28" i="8"/>
  <c r="M29" i="8"/>
  <c r="AK24" i="8"/>
  <c r="M24" i="8"/>
  <c r="I24" i="8"/>
  <c r="H24" i="8"/>
  <c r="I29" i="8"/>
  <c r="H29" i="8"/>
  <c r="I28" i="8"/>
  <c r="H28" i="8"/>
  <c r="J26" i="9" l="1"/>
  <c r="C29" i="9"/>
  <c r="D29" i="9"/>
  <c r="E29" i="9"/>
  <c r="F29" i="9"/>
  <c r="G29" i="9"/>
  <c r="AK17" i="8" l="1"/>
  <c r="M17" i="8"/>
  <c r="H17" i="8"/>
  <c r="K2" i="9" l="1"/>
  <c r="K1" i="9"/>
  <c r="L6" i="2"/>
  <c r="I5" i="8"/>
  <c r="I6" i="8"/>
  <c r="I11" i="8"/>
  <c r="I12" i="8"/>
  <c r="I16" i="8"/>
  <c r="I18" i="8"/>
  <c r="I19" i="8"/>
  <c r="I21" i="8"/>
  <c r="I22" i="8"/>
  <c r="I23" i="8"/>
  <c r="I26" i="8"/>
  <c r="I27" i="8"/>
  <c r="I30" i="8"/>
  <c r="I31" i="8"/>
  <c r="I33" i="8"/>
  <c r="I34" i="8"/>
  <c r="I39" i="8"/>
  <c r="I40" i="8"/>
  <c r="I46" i="8"/>
  <c r="I47" i="8"/>
  <c r="I52" i="8"/>
  <c r="I53"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D2" i="9" l="1"/>
  <c r="AK16" i="8" l="1"/>
  <c r="M16" i="8"/>
  <c r="H16" i="8"/>
  <c r="AK12" i="8"/>
  <c r="M12" i="8"/>
  <c r="H12" i="8"/>
  <c r="AK11" i="8"/>
  <c r="M11" i="8"/>
  <c r="H11" i="8"/>
  <c r="M5" i="8" l="1"/>
  <c r="M6" i="8"/>
  <c r="M18" i="8"/>
  <c r="M19" i="8"/>
  <c r="M21" i="8"/>
  <c r="M22" i="8"/>
  <c r="M23" i="8"/>
  <c r="M26" i="8"/>
  <c r="M27" i="8"/>
  <c r="M30" i="8"/>
  <c r="M31" i="8"/>
  <c r="M33" i="8"/>
  <c r="M34" i="8"/>
  <c r="M39" i="8"/>
  <c r="M40" i="8"/>
  <c r="M46" i="8"/>
  <c r="M47" i="8"/>
  <c r="M52" i="8"/>
  <c r="M53" i="8"/>
  <c r="M58" i="8"/>
  <c r="M59" i="8"/>
  <c r="M60" i="8"/>
  <c r="M61" i="8"/>
  <c r="M62" i="8"/>
  <c r="M63" i="8"/>
  <c r="M64" i="8"/>
  <c r="M65" i="8"/>
  <c r="M66" i="8"/>
  <c r="M67" i="8"/>
  <c r="M68" i="8"/>
  <c r="M69" i="8"/>
  <c r="M70" i="8"/>
  <c r="M71" i="8"/>
  <c r="M72" i="8"/>
  <c r="M73" i="8"/>
  <c r="M74" i="8"/>
  <c r="M75" i="8"/>
  <c r="M76" i="8"/>
  <c r="M77" i="8"/>
  <c r="M78" i="8"/>
  <c r="M79" i="8"/>
  <c r="M80" i="8"/>
  <c r="M81" i="8"/>
  <c r="M82" i="8"/>
  <c r="M83" i="8"/>
  <c r="M84" i="8"/>
  <c r="M85" i="8"/>
  <c r="M86" i="8"/>
  <c r="M87" i="8"/>
  <c r="M88" i="8"/>
  <c r="M89" i="8"/>
  <c r="M90" i="8"/>
  <c r="M91" i="8"/>
  <c r="M92" i="8"/>
  <c r="M93" i="8"/>
  <c r="M94" i="8"/>
  <c r="M95" i="8"/>
  <c r="M96" i="8"/>
  <c r="M97" i="8"/>
  <c r="M98" i="8"/>
  <c r="M99" i="8"/>
  <c r="M100" i="8"/>
  <c r="M101" i="8"/>
  <c r="M102" i="8"/>
  <c r="M103" i="8"/>
  <c r="M104" i="8"/>
  <c r="M105" i="8"/>
  <c r="AK26" i="8" l="1"/>
  <c r="H33" i="8"/>
  <c r="H34" i="8"/>
  <c r="H39" i="8"/>
  <c r="H40" i="8"/>
  <c r="H46" i="8"/>
  <c r="H47" i="8"/>
  <c r="H52" i="8"/>
  <c r="H53"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AK33" i="8"/>
  <c r="AK34" i="8"/>
  <c r="AK39" i="8"/>
  <c r="AK40" i="8"/>
  <c r="AK46" i="8"/>
  <c r="AK47" i="8"/>
  <c r="AK52" i="8"/>
  <c r="AK53" i="8"/>
  <c r="AK58" i="8"/>
  <c r="AK59" i="8"/>
  <c r="AK60" i="8"/>
  <c r="AK61" i="8"/>
  <c r="AK62" i="8"/>
  <c r="AK63" i="8"/>
  <c r="AK64" i="8"/>
  <c r="AK65" i="8"/>
  <c r="AK66" i="8"/>
  <c r="AK67" i="8"/>
  <c r="AK68" i="8"/>
  <c r="AK69" i="8"/>
  <c r="AK70" i="8"/>
  <c r="AK71" i="8"/>
  <c r="AK72" i="8"/>
  <c r="AK73" i="8"/>
  <c r="AK74" i="8"/>
  <c r="AK75" i="8"/>
  <c r="AK76" i="8"/>
  <c r="AK77" i="8"/>
  <c r="AK78" i="8"/>
  <c r="AK79" i="8"/>
  <c r="AK80" i="8"/>
  <c r="AK81" i="8"/>
  <c r="AK82" i="8"/>
  <c r="AK83" i="8"/>
  <c r="AK84" i="8"/>
  <c r="AK85" i="8"/>
  <c r="AK86" i="8"/>
  <c r="AK87" i="8"/>
  <c r="AK88" i="8"/>
  <c r="AK89" i="8"/>
  <c r="AK90" i="8"/>
  <c r="AK91" i="8"/>
  <c r="AK92" i="8"/>
  <c r="AK93" i="8"/>
  <c r="AK94" i="8"/>
  <c r="AK95" i="8"/>
  <c r="AK96" i="8"/>
  <c r="AK97" i="8"/>
  <c r="AK98" i="8"/>
  <c r="AK99" i="8"/>
  <c r="AK100" i="8"/>
  <c r="AK101" i="8"/>
  <c r="AK102" i="8"/>
  <c r="AK103" i="8"/>
  <c r="AK104" i="8"/>
  <c r="AK105" i="8"/>
  <c r="H23" i="8"/>
  <c r="AK23" i="8"/>
  <c r="H18" i="8"/>
  <c r="H19" i="8"/>
  <c r="H21" i="8"/>
  <c r="H22" i="8"/>
  <c r="AK18" i="8"/>
  <c r="AK19" i="8"/>
  <c r="AK21" i="8"/>
  <c r="AK22" i="8"/>
  <c r="H26" i="8"/>
  <c r="H27" i="8"/>
  <c r="AK27" i="8"/>
  <c r="H30" i="8"/>
  <c r="AK30" i="8"/>
  <c r="H31" i="8"/>
  <c r="AK31" i="8"/>
  <c r="F2" i="9" l="1"/>
  <c r="H1" i="9"/>
  <c r="F1" i="9"/>
  <c r="D1" i="9"/>
  <c r="T15" i="9" l="1"/>
  <c r="I15" i="9"/>
  <c r="N32" i="2"/>
  <c r="H5" i="8"/>
  <c r="H6" i="8"/>
  <c r="A34" i="2"/>
  <c r="O32" i="2"/>
  <c r="O17" i="2"/>
  <c r="N17" i="2"/>
  <c r="M17" i="2"/>
  <c r="AK6" i="8"/>
  <c r="AK5" i="8"/>
  <c r="P34" i="2" l="1"/>
  <c r="Q34" i="2"/>
  <c r="E34" i="2"/>
  <c r="A19" i="2"/>
  <c r="E19" i="2" s="1"/>
  <c r="A37" i="2"/>
  <c r="P37" i="2" s="1"/>
  <c r="A35" i="2"/>
  <c r="Q35" i="2" s="1"/>
  <c r="A39" i="2"/>
  <c r="P39" i="2" s="1"/>
  <c r="A33" i="2"/>
  <c r="A36" i="2"/>
  <c r="P36" i="2" s="1"/>
  <c r="A40" i="2"/>
  <c r="P40" i="2" s="1"/>
  <c r="A38" i="2"/>
  <c r="P38" i="2" s="1"/>
  <c r="C17" i="9" l="1"/>
  <c r="N17" i="9"/>
  <c r="O17" i="9"/>
  <c r="P17" i="9"/>
  <c r="Q17" i="9"/>
  <c r="R17" i="9"/>
  <c r="G17" i="9"/>
  <c r="D17" i="9"/>
  <c r="E17" i="9"/>
  <c r="F17" i="9"/>
  <c r="Q37" i="2"/>
  <c r="Q39" i="2"/>
  <c r="Q40" i="2"/>
  <c r="P35" i="2"/>
  <c r="Q38" i="2"/>
  <c r="Q36" i="2"/>
  <c r="AV17" i="9"/>
  <c r="AP17" i="9"/>
  <c r="AO17" i="9"/>
  <c r="AS17" i="9"/>
  <c r="Z17" i="9"/>
  <c r="AM17" i="9"/>
  <c r="AF17" i="9"/>
  <c r="AI17" i="9"/>
  <c r="AQ17" i="9"/>
  <c r="AC17" i="9"/>
  <c r="AY17" i="9"/>
  <c r="AX17" i="9"/>
  <c r="AN17" i="9"/>
  <c r="AJ17" i="9"/>
  <c r="AZ17" i="9"/>
  <c r="Y17" i="9"/>
  <c r="AB17" i="9"/>
  <c r="AA17" i="9"/>
  <c r="BB17" i="9"/>
  <c r="AH17" i="9"/>
  <c r="AW17" i="9"/>
  <c r="AG17" i="9"/>
  <c r="E35" i="2"/>
  <c r="Q19" i="2"/>
  <c r="P19" i="2"/>
  <c r="E40" i="2"/>
  <c r="E33" i="2"/>
  <c r="P33" i="2"/>
  <c r="Q33" i="2"/>
  <c r="E37" i="2"/>
  <c r="E36" i="2"/>
  <c r="E38" i="2"/>
  <c r="E39" i="2"/>
  <c r="AR6" i="9" l="1"/>
  <c r="BJ6" i="9"/>
  <c r="BL6" i="9"/>
  <c r="BI6" i="9"/>
  <c r="BK6" i="9"/>
  <c r="BM6" i="9"/>
  <c r="AY6" i="9"/>
  <c r="C21" i="9"/>
  <c r="N21" i="9"/>
  <c r="C20" i="9"/>
  <c r="N20" i="9"/>
  <c r="N22" i="9"/>
  <c r="C22" i="9"/>
  <c r="N19" i="9"/>
  <c r="C19" i="9"/>
  <c r="Y16" i="9"/>
  <c r="C16" i="9"/>
  <c r="N16" i="9"/>
  <c r="N23" i="9"/>
  <c r="C23" i="9"/>
  <c r="C18" i="9"/>
  <c r="N18" i="9"/>
  <c r="S17" i="9"/>
  <c r="Y22" i="9"/>
  <c r="R22" i="9"/>
  <c r="O22" i="9"/>
  <c r="P22" i="9"/>
  <c r="Q22" i="9"/>
  <c r="Q19" i="9"/>
  <c r="R19" i="9"/>
  <c r="O19" i="9"/>
  <c r="P19" i="9"/>
  <c r="AB23" i="9"/>
  <c r="Q23" i="9"/>
  <c r="R23" i="9"/>
  <c r="O23" i="9"/>
  <c r="P23" i="9"/>
  <c r="R18" i="9"/>
  <c r="O18" i="9"/>
  <c r="P18" i="9"/>
  <c r="Q18" i="9"/>
  <c r="Z21" i="9"/>
  <c r="O21" i="9"/>
  <c r="P21" i="9"/>
  <c r="Q21" i="9"/>
  <c r="R21" i="9"/>
  <c r="Y20" i="9"/>
  <c r="P20" i="9"/>
  <c r="Q20" i="9"/>
  <c r="R20" i="9"/>
  <c r="O20" i="9"/>
  <c r="H17" i="9"/>
  <c r="H19" i="2"/>
  <c r="I19" i="2"/>
  <c r="AH19" i="9"/>
  <c r="AB19" i="9"/>
  <c r="AI19" i="9"/>
  <c r="Y19" i="9"/>
  <c r="AC19" i="9"/>
  <c r="AF19" i="9"/>
  <c r="AJ19" i="9"/>
  <c r="Z19" i="9"/>
  <c r="AG19" i="9"/>
  <c r="AA19" i="9"/>
  <c r="AX18" i="9"/>
  <c r="AO18" i="9"/>
  <c r="AI18" i="9"/>
  <c r="Y18" i="9"/>
  <c r="AC18" i="9"/>
  <c r="AY18" i="9"/>
  <c r="AP18" i="9"/>
  <c r="AF18" i="9"/>
  <c r="AJ18" i="9"/>
  <c r="Z18" i="9"/>
  <c r="AV18" i="9"/>
  <c r="AZ18" i="9"/>
  <c r="AM18" i="9"/>
  <c r="AQ18" i="9"/>
  <c r="AG18" i="9"/>
  <c r="AA18" i="9"/>
  <c r="AW18" i="9"/>
  <c r="BB18" i="9"/>
  <c r="AN18" i="9"/>
  <c r="AS18" i="9"/>
  <c r="AH18" i="9"/>
  <c r="AB18" i="9"/>
  <c r="BC6" i="9"/>
  <c r="R6" i="9"/>
  <c r="J6" i="9"/>
  <c r="AW6" i="9"/>
  <c r="X6" i="9"/>
  <c r="AK6" i="9"/>
  <c r="BE6" i="9"/>
  <c r="BB6" i="9"/>
  <c r="AL6" i="9"/>
  <c r="D6" i="9"/>
  <c r="Q6" i="9"/>
  <c r="U6" i="9"/>
  <c r="AV6" i="9"/>
  <c r="V6" i="9"/>
  <c r="B6" i="9"/>
  <c r="AJ6" i="9"/>
  <c r="AB6" i="9"/>
  <c r="T6" i="9"/>
  <c r="AT6" i="9"/>
  <c r="BF6" i="9"/>
  <c r="I6" i="9"/>
  <c r="M6" i="9"/>
  <c r="AI6" i="9"/>
  <c r="AA6" i="9"/>
  <c r="BD6" i="9"/>
  <c r="AO6" i="9"/>
  <c r="F6" i="9"/>
  <c r="C6" i="9"/>
  <c r="Y6" i="9"/>
  <c r="AU6" i="9"/>
  <c r="AM6" i="9"/>
  <c r="E6" i="9"/>
  <c r="AS6" i="9"/>
  <c r="S6" i="9"/>
  <c r="K6" i="9"/>
  <c r="L6" i="9"/>
  <c r="G6" i="9"/>
  <c r="AH6" i="9"/>
  <c r="Z6" i="9"/>
  <c r="E23" i="9"/>
  <c r="F16" i="9"/>
  <c r="R16" i="9"/>
  <c r="Z20" i="9"/>
  <c r="P16" i="9"/>
  <c r="AC16" i="9"/>
  <c r="D16" i="9"/>
  <c r="AA16" i="9"/>
  <c r="E16" i="9"/>
  <c r="O16" i="9"/>
  <c r="AB16" i="9"/>
  <c r="D20" i="9"/>
  <c r="G21" i="9"/>
  <c r="F20" i="9"/>
  <c r="Y23" i="9"/>
  <c r="E21" i="9"/>
  <c r="E20" i="9"/>
  <c r="D23" i="9"/>
  <c r="F23" i="9"/>
  <c r="D21" i="9"/>
  <c r="AB20" i="9"/>
  <c r="AA23" i="9"/>
  <c r="AC21" i="9"/>
  <c r="AA20" i="9"/>
  <c r="Y21" i="9"/>
  <c r="F21" i="9"/>
  <c r="AC23" i="9"/>
  <c r="AC20" i="9"/>
  <c r="Q16" i="9"/>
  <c r="G16" i="9"/>
  <c r="Z16" i="9"/>
  <c r="G20" i="9"/>
  <c r="G23" i="9"/>
  <c r="Z23" i="9"/>
  <c r="F22" i="9"/>
  <c r="F18" i="9"/>
  <c r="AB21" i="9"/>
  <c r="AA21" i="9"/>
  <c r="E22" i="9"/>
  <c r="G19" i="9"/>
  <c r="E18" i="9"/>
  <c r="G18" i="9"/>
  <c r="F19" i="9"/>
  <c r="AB22" i="9"/>
  <c r="AA22" i="9"/>
  <c r="G22" i="9"/>
  <c r="Z22" i="9"/>
  <c r="D19" i="9"/>
  <c r="E19" i="9"/>
  <c r="D18" i="9"/>
  <c r="D22" i="9"/>
  <c r="AC22" i="9"/>
  <c r="AX22" i="9"/>
  <c r="AY22" i="9"/>
  <c r="AO22" i="9"/>
  <c r="AF22" i="9"/>
  <c r="AJ22" i="9"/>
  <c r="AV22" i="9"/>
  <c r="AZ22" i="9"/>
  <c r="AP22" i="9"/>
  <c r="AG22" i="9"/>
  <c r="AW22" i="9"/>
  <c r="AQ22" i="9"/>
  <c r="AH22" i="9"/>
  <c r="AN22" i="9"/>
  <c r="AM22" i="9"/>
  <c r="AI22" i="9"/>
  <c r="BB22" i="9"/>
  <c r="AS22" i="9"/>
  <c r="AW19" i="9"/>
  <c r="AX19" i="9"/>
  <c r="AO19" i="9"/>
  <c r="AM19" i="9"/>
  <c r="AY19" i="9"/>
  <c r="AP19" i="9"/>
  <c r="AV19" i="9"/>
  <c r="AZ19" i="9"/>
  <c r="AQ19" i="9"/>
  <c r="AN19" i="9"/>
  <c r="AS19" i="9"/>
  <c r="BB19" i="9"/>
  <c r="AM16" i="9"/>
  <c r="AF16" i="9"/>
  <c r="AW16" i="9"/>
  <c r="AP16" i="9"/>
  <c r="AJ16" i="9"/>
  <c r="AZ16" i="9"/>
  <c r="AV16" i="9"/>
  <c r="AO16" i="9"/>
  <c r="AI16" i="9"/>
  <c r="AY16" i="9"/>
  <c r="AN16" i="9"/>
  <c r="AH16" i="9"/>
  <c r="AX16" i="9"/>
  <c r="AQ16" i="9"/>
  <c r="AG16" i="9"/>
  <c r="AS16" i="9"/>
  <c r="BB16" i="9"/>
  <c r="AY21" i="9"/>
  <c r="AN21" i="9"/>
  <c r="AJ21" i="9"/>
  <c r="AV21" i="9"/>
  <c r="AZ21" i="9"/>
  <c r="AO21" i="9"/>
  <c r="AG21" i="9"/>
  <c r="AW21" i="9"/>
  <c r="AP21" i="9"/>
  <c r="AH21" i="9"/>
  <c r="AX21" i="9"/>
  <c r="AQ21" i="9"/>
  <c r="AM21" i="9"/>
  <c r="AI21" i="9"/>
  <c r="AF21" i="9"/>
  <c r="AS21" i="9"/>
  <c r="BB21" i="9"/>
  <c r="AV20" i="9"/>
  <c r="AZ20" i="9"/>
  <c r="AW20" i="9"/>
  <c r="AO20" i="9"/>
  <c r="AH20" i="9"/>
  <c r="AX20" i="9"/>
  <c r="AP20" i="9"/>
  <c r="AM20" i="9"/>
  <c r="AI20" i="9"/>
  <c r="AY20" i="9"/>
  <c r="AQ20" i="9"/>
  <c r="AF20" i="9"/>
  <c r="AJ20" i="9"/>
  <c r="AN20" i="9"/>
  <c r="AG20" i="9"/>
  <c r="BB20" i="9"/>
  <c r="AS20" i="9"/>
  <c r="AW23" i="9"/>
  <c r="AX23" i="9"/>
  <c r="AO23" i="9"/>
  <c r="AM23" i="9"/>
  <c r="AI23" i="9"/>
  <c r="AY23" i="9"/>
  <c r="AP23" i="9"/>
  <c r="AF23" i="9"/>
  <c r="AJ23" i="9"/>
  <c r="AV23" i="9"/>
  <c r="AZ23" i="9"/>
  <c r="AQ23" i="9"/>
  <c r="AG23" i="9"/>
  <c r="AN23" i="9"/>
  <c r="AH23" i="9"/>
  <c r="AS23" i="9"/>
  <c r="BB23" i="9"/>
  <c r="BN6" i="9" l="1"/>
  <c r="AN6" i="9"/>
  <c r="AP6" i="9" s="1"/>
  <c r="H16" i="9"/>
  <c r="S18" i="9"/>
  <c r="S20" i="9"/>
  <c r="S19" i="9"/>
  <c r="S21" i="9"/>
  <c r="S23" i="9"/>
  <c r="S22" i="9"/>
  <c r="H19" i="9"/>
  <c r="H20" i="9"/>
  <c r="H21" i="9"/>
  <c r="H22" i="9"/>
  <c r="H23" i="9"/>
  <c r="H18" i="9"/>
  <c r="AX6" i="9"/>
  <c r="AZ6" i="9" s="1"/>
  <c r="K19" i="2" s="1"/>
  <c r="H6" i="9"/>
  <c r="W6" i="9"/>
  <c r="N6" i="9"/>
  <c r="AC6" i="9"/>
  <c r="S16" i="9"/>
  <c r="H25" i="9" l="1"/>
  <c r="H29" i="9"/>
  <c r="J19" i="2"/>
  <c r="L19" i="2" s="1"/>
  <c r="T17" i="9"/>
  <c r="U17" i="9" s="1"/>
  <c r="I17" i="9"/>
  <c r="J17" i="9" s="1"/>
  <c r="AD6" i="9"/>
  <c r="O6" i="9"/>
  <c r="A18" i="2"/>
  <c r="A23" i="2"/>
  <c r="A20" i="2"/>
  <c r="E20" i="2" s="1"/>
  <c r="A24" i="2"/>
  <c r="A21" i="2"/>
  <c r="E21" i="2" s="1"/>
  <c r="A25" i="2"/>
  <c r="A22" i="2"/>
  <c r="K17" i="9" l="1"/>
  <c r="L17" i="9" s="1"/>
  <c r="AD17" i="9" s="1"/>
  <c r="AR17" i="9" s="1"/>
  <c r="AT17" i="9" s="1"/>
  <c r="P18" i="2"/>
  <c r="E18" i="2"/>
  <c r="BF5" i="9" s="1"/>
  <c r="AE6" i="9"/>
  <c r="M19" i="2" s="1"/>
  <c r="E22" i="2"/>
  <c r="P22" i="2"/>
  <c r="Q22" i="2"/>
  <c r="P20" i="2"/>
  <c r="Q20" i="2"/>
  <c r="E25" i="2"/>
  <c r="P25" i="2"/>
  <c r="Q25" i="2"/>
  <c r="P21" i="2"/>
  <c r="Q21" i="2"/>
  <c r="E23" i="2"/>
  <c r="P23" i="2"/>
  <c r="Q23" i="2"/>
  <c r="E24" i="2"/>
  <c r="Q24" i="2"/>
  <c r="P24" i="2"/>
  <c r="Q18" i="2"/>
  <c r="N19" i="2" l="1"/>
  <c r="R19" i="2" s="1"/>
  <c r="V17" i="9"/>
  <c r="W17" i="9" s="1"/>
  <c r="AK17" i="9" s="1"/>
  <c r="G34" i="2" s="1"/>
  <c r="BI11" i="9"/>
  <c r="BK11" i="9"/>
  <c r="BM11" i="9"/>
  <c r="BJ11" i="9"/>
  <c r="BL11" i="9"/>
  <c r="AR5" i="9"/>
  <c r="BM5" i="9"/>
  <c r="BL5" i="9"/>
  <c r="BK5" i="9"/>
  <c r="BI5" i="9"/>
  <c r="BJ5" i="9"/>
  <c r="AR10" i="9"/>
  <c r="BJ10" i="9"/>
  <c r="BL10" i="9"/>
  <c r="BI10" i="9"/>
  <c r="BK10" i="9"/>
  <c r="BM10" i="9"/>
  <c r="AR12" i="9"/>
  <c r="AW2" i="9" s="1"/>
  <c r="BJ12" i="9"/>
  <c r="BL12" i="9"/>
  <c r="BI12" i="9"/>
  <c r="BK12" i="9"/>
  <c r="BM12" i="9"/>
  <c r="AR9" i="9"/>
  <c r="BI9" i="9"/>
  <c r="BK9" i="9"/>
  <c r="BM9" i="9"/>
  <c r="BJ9" i="9"/>
  <c r="BL9" i="9"/>
  <c r="AR8" i="9"/>
  <c r="BJ8" i="9"/>
  <c r="BL8" i="9"/>
  <c r="BI8" i="9"/>
  <c r="BK8" i="9"/>
  <c r="BM8" i="9"/>
  <c r="AR7" i="9"/>
  <c r="BI7" i="9"/>
  <c r="BK7" i="9"/>
  <c r="BM7" i="9"/>
  <c r="BJ7" i="9"/>
  <c r="BL7" i="9"/>
  <c r="AR11" i="9"/>
  <c r="AJ11" i="9"/>
  <c r="AL11" i="9"/>
  <c r="AI11" i="9"/>
  <c r="AK11" i="9"/>
  <c r="AM11" i="9"/>
  <c r="I18" i="2"/>
  <c r="AY5" i="9"/>
  <c r="AW5" i="9"/>
  <c r="AO9" i="9"/>
  <c r="AY9" i="9"/>
  <c r="AO8" i="9"/>
  <c r="AY8" i="9"/>
  <c r="AO7" i="9"/>
  <c r="AY7" i="9"/>
  <c r="AO10" i="9"/>
  <c r="AY10" i="9"/>
  <c r="AO12" i="9"/>
  <c r="AY12" i="9"/>
  <c r="AO11" i="9"/>
  <c r="AY11" i="9"/>
  <c r="H23" i="2"/>
  <c r="I23" i="2"/>
  <c r="H25" i="2"/>
  <c r="I25" i="2"/>
  <c r="H18" i="2"/>
  <c r="I24" i="2"/>
  <c r="H24" i="2"/>
  <c r="I22" i="2"/>
  <c r="H22" i="2"/>
  <c r="H21" i="2"/>
  <c r="I21" i="2"/>
  <c r="I20" i="2"/>
  <c r="H20" i="2"/>
  <c r="O19" i="2"/>
  <c r="AF6" i="9"/>
  <c r="BG6" i="9" s="1"/>
  <c r="BB7" i="9"/>
  <c r="BF11" i="9"/>
  <c r="BC11" i="9"/>
  <c r="AI10" i="9"/>
  <c r="BE11" i="9"/>
  <c r="G11" i="9"/>
  <c r="AW11" i="9"/>
  <c r="G9" i="9"/>
  <c r="BB5" i="9"/>
  <c r="F11" i="9"/>
  <c r="S11" i="9"/>
  <c r="Y11" i="9"/>
  <c r="AB11" i="9"/>
  <c r="T11" i="9"/>
  <c r="C11" i="9"/>
  <c r="K11" i="9"/>
  <c r="I11" i="9"/>
  <c r="BB11" i="9"/>
  <c r="E5" i="9"/>
  <c r="B9" i="9"/>
  <c r="Z11" i="9"/>
  <c r="AH11" i="9"/>
  <c r="AN2" i="9" s="1"/>
  <c r="X11" i="9"/>
  <c r="AA11" i="9"/>
  <c r="AS11" i="9"/>
  <c r="BC5" i="9"/>
  <c r="AT10" i="9"/>
  <c r="E10" i="9"/>
  <c r="Y5" i="9"/>
  <c r="B10" i="9"/>
  <c r="G12" i="9"/>
  <c r="AV10" i="9"/>
  <c r="E12" i="9"/>
  <c r="AU10" i="9"/>
  <c r="AA5" i="9"/>
  <c r="G5" i="9"/>
  <c r="D11" i="9"/>
  <c r="E11" i="9"/>
  <c r="BD5" i="9"/>
  <c r="L11" i="9"/>
  <c r="V11" i="9"/>
  <c r="J11" i="9"/>
  <c r="BD11" i="9"/>
  <c r="B11" i="9"/>
  <c r="Z5" i="9"/>
  <c r="X5" i="9"/>
  <c r="Q11" i="9"/>
  <c r="AU11" i="9"/>
  <c r="R11" i="9"/>
  <c r="AT11" i="9"/>
  <c r="U11" i="9"/>
  <c r="M11" i="9"/>
  <c r="AV11" i="9"/>
  <c r="V10" i="9"/>
  <c r="BC10" i="9"/>
  <c r="K10" i="9"/>
  <c r="M10" i="9"/>
  <c r="U9" i="9"/>
  <c r="AV9" i="9"/>
  <c r="R9" i="9"/>
  <c r="C9" i="9"/>
  <c r="K5" i="9"/>
  <c r="AK5" i="9"/>
  <c r="L5" i="9"/>
  <c r="AH5" i="9"/>
  <c r="I5" i="9"/>
  <c r="AB5" i="9"/>
  <c r="BE5" i="9"/>
  <c r="AJ5" i="9"/>
  <c r="AB9" i="9"/>
  <c r="AW9" i="9"/>
  <c r="T9" i="9"/>
  <c r="BE9" i="9"/>
  <c r="S9" i="9"/>
  <c r="BD9" i="9"/>
  <c r="Y9" i="9"/>
  <c r="BC9" i="9"/>
  <c r="AI9" i="9"/>
  <c r="C5" i="9"/>
  <c r="F5" i="9"/>
  <c r="F9" i="9"/>
  <c r="Q5" i="9"/>
  <c r="AU5" i="9"/>
  <c r="R5" i="9"/>
  <c r="AL5" i="9"/>
  <c r="M5" i="9"/>
  <c r="AI5" i="9"/>
  <c r="J5" i="9"/>
  <c r="AT5" i="9"/>
  <c r="I9" i="9"/>
  <c r="X9" i="9"/>
  <c r="AS9" i="9"/>
  <c r="AA9" i="9"/>
  <c r="BB9" i="9"/>
  <c r="Z9" i="9"/>
  <c r="M9" i="9"/>
  <c r="AH9" i="9"/>
  <c r="K9" i="9"/>
  <c r="Q9" i="9"/>
  <c r="AU9" i="9"/>
  <c r="AT9" i="9"/>
  <c r="D5" i="9"/>
  <c r="E9" i="9"/>
  <c r="D9" i="9"/>
  <c r="U5" i="9"/>
  <c r="AS5" i="9"/>
  <c r="V5" i="9"/>
  <c r="AV5" i="9"/>
  <c r="S5" i="9"/>
  <c r="T5" i="9"/>
  <c r="L9" i="9"/>
  <c r="AM9" i="9"/>
  <c r="BF9" i="9"/>
  <c r="AL9" i="9"/>
  <c r="J9" i="9"/>
  <c r="AK9" i="9"/>
  <c r="V9" i="9"/>
  <c r="AJ9" i="9"/>
  <c r="D12" i="9"/>
  <c r="L10" i="9"/>
  <c r="Q10" i="9"/>
  <c r="R10" i="9"/>
  <c r="U10" i="9"/>
  <c r="C10" i="9"/>
  <c r="B12" i="9"/>
  <c r="D10" i="9"/>
  <c r="F10" i="9"/>
  <c r="C12" i="9"/>
  <c r="AL10" i="9"/>
  <c r="AK10" i="9"/>
  <c r="AJ10" i="9"/>
  <c r="AM10" i="9"/>
  <c r="G10" i="9"/>
  <c r="F12" i="9"/>
  <c r="T10" i="9"/>
  <c r="BF10" i="9"/>
  <c r="S10" i="9"/>
  <c r="BE10" i="9"/>
  <c r="Y10" i="9"/>
  <c r="BD10" i="9"/>
  <c r="AB10" i="9"/>
  <c r="AW10" i="9"/>
  <c r="AA10" i="9"/>
  <c r="BB10" i="9"/>
  <c r="Z10" i="9"/>
  <c r="J10" i="9"/>
  <c r="AH10" i="9"/>
  <c r="I10" i="9"/>
  <c r="X10" i="9"/>
  <c r="AS10" i="9"/>
  <c r="U12" i="9"/>
  <c r="F8" i="9"/>
  <c r="B7" i="9"/>
  <c r="D8" i="9"/>
  <c r="AB8" i="9"/>
  <c r="S8" i="9"/>
  <c r="I7" i="9"/>
  <c r="V12" i="9"/>
  <c r="T12" i="9"/>
  <c r="AW12" i="9"/>
  <c r="AJ12" i="9"/>
  <c r="Q12" i="9"/>
  <c r="Y12" i="9"/>
  <c r="X12" i="9"/>
  <c r="AV12" i="9"/>
  <c r="BF12" i="9"/>
  <c r="I12" i="9"/>
  <c r="Z12" i="9"/>
  <c r="R12" i="9"/>
  <c r="AT12" i="9"/>
  <c r="AB12" i="9"/>
  <c r="AS12" i="9"/>
  <c r="AL12" i="9"/>
  <c r="S12" i="9"/>
  <c r="L12" i="9"/>
  <c r="AH12" i="9"/>
  <c r="K12" i="9"/>
  <c r="AI12" i="9"/>
  <c r="J12" i="9"/>
  <c r="BD12" i="9"/>
  <c r="BC12" i="9"/>
  <c r="G8" i="9"/>
  <c r="C7" i="9"/>
  <c r="F7" i="9"/>
  <c r="AW8" i="9"/>
  <c r="BC8" i="9"/>
  <c r="Z7" i="9"/>
  <c r="X7" i="9"/>
  <c r="C8" i="9"/>
  <c r="G7" i="9"/>
  <c r="E7" i="9"/>
  <c r="Y8" i="9"/>
  <c r="T8" i="9"/>
  <c r="K7" i="9"/>
  <c r="AS7" i="9"/>
  <c r="B8" i="9"/>
  <c r="E8" i="9"/>
  <c r="D7" i="9"/>
  <c r="BF8" i="9"/>
  <c r="BD8" i="9"/>
  <c r="AH7" i="9"/>
  <c r="AA7" i="9"/>
  <c r="L8" i="9"/>
  <c r="AH8" i="9"/>
  <c r="I8" i="9"/>
  <c r="X8" i="9"/>
  <c r="AS8" i="9"/>
  <c r="AA8" i="9"/>
  <c r="BB8" i="9"/>
  <c r="Z8" i="9"/>
  <c r="L7" i="9"/>
  <c r="AK7" i="9"/>
  <c r="V7" i="9"/>
  <c r="AJ7" i="9"/>
  <c r="J7" i="9"/>
  <c r="AM7" i="9"/>
  <c r="BD7" i="9"/>
  <c r="AL7" i="9"/>
  <c r="V8" i="9"/>
  <c r="AJ8" i="9"/>
  <c r="K8" i="9"/>
  <c r="AM8" i="9"/>
  <c r="BE8" i="9"/>
  <c r="AL8" i="9"/>
  <c r="M8" i="9"/>
  <c r="AK8" i="9"/>
  <c r="Q7" i="9"/>
  <c r="AU7" i="9"/>
  <c r="R7" i="9"/>
  <c r="AT7" i="9"/>
  <c r="U7" i="9"/>
  <c r="AI7" i="9"/>
  <c r="M7" i="9"/>
  <c r="AV7" i="9"/>
  <c r="R8" i="9"/>
  <c r="AT8" i="9"/>
  <c r="U8" i="9"/>
  <c r="AI8" i="9"/>
  <c r="J8" i="9"/>
  <c r="AV8" i="9"/>
  <c r="Q8" i="9"/>
  <c r="AU8" i="9"/>
  <c r="AM12" i="9"/>
  <c r="BE12" i="9"/>
  <c r="AA12" i="9"/>
  <c r="BB12" i="9"/>
  <c r="AU12" i="9"/>
  <c r="S7" i="9"/>
  <c r="BF7" i="9"/>
  <c r="Y7" i="9"/>
  <c r="BE7" i="9"/>
  <c r="AB7" i="9"/>
  <c r="AW7" i="9"/>
  <c r="T7" i="9"/>
  <c r="BC7" i="9"/>
  <c r="M12" i="9"/>
  <c r="AK12" i="9"/>
  <c r="B5" i="9"/>
  <c r="AM5" i="9"/>
  <c r="AO5" i="9"/>
  <c r="AS2" i="9" l="1"/>
  <c r="AU2" i="9"/>
  <c r="AR2" i="9"/>
  <c r="AT2" i="9"/>
  <c r="AV2" i="9"/>
  <c r="AK2" i="9"/>
  <c r="AM2" i="9"/>
  <c r="AJ2" i="9"/>
  <c r="AL2" i="9"/>
  <c r="AI2" i="9"/>
  <c r="AN7" i="9"/>
  <c r="AN8" i="9"/>
  <c r="BA17" i="9"/>
  <c r="BC17" i="9" s="1"/>
  <c r="H34" i="2"/>
  <c r="I34" i="2" s="1"/>
  <c r="G19" i="2"/>
  <c r="BN11" i="9"/>
  <c r="BN9" i="9"/>
  <c r="BN5" i="9"/>
  <c r="BN12" i="9"/>
  <c r="BN10" i="9"/>
  <c r="BN7" i="9"/>
  <c r="BN8" i="9"/>
  <c r="AN12" i="9"/>
  <c r="AP12" i="9" s="1"/>
  <c r="AN5" i="9"/>
  <c r="AN10" i="9"/>
  <c r="AP10" i="9" s="1"/>
  <c r="J23" i="2" s="1"/>
  <c r="AN9" i="9"/>
  <c r="AP9" i="9" s="1"/>
  <c r="J22" i="2" s="1"/>
  <c r="AN11" i="9"/>
  <c r="AP11" i="9" s="1"/>
  <c r="J24" i="2" s="1"/>
  <c r="K34" i="2"/>
  <c r="AP7" i="9"/>
  <c r="J20" i="2" s="1"/>
  <c r="AP8" i="9"/>
  <c r="J21" i="2" s="1"/>
  <c r="AX5" i="9"/>
  <c r="AZ5" i="9" s="1"/>
  <c r="K18" i="2" s="1"/>
  <c r="AX10" i="9"/>
  <c r="AZ10" i="9" s="1"/>
  <c r="N11" i="9"/>
  <c r="AC9" i="9"/>
  <c r="W5" i="9"/>
  <c r="N5" i="9"/>
  <c r="AC11" i="9"/>
  <c r="H5" i="9"/>
  <c r="AX11" i="9"/>
  <c r="AZ11" i="9" s="1"/>
  <c r="K24" i="2" s="1"/>
  <c r="W9" i="9"/>
  <c r="AC5" i="9"/>
  <c r="W11" i="9"/>
  <c r="H11" i="9"/>
  <c r="N9" i="9"/>
  <c r="AX9" i="9"/>
  <c r="AZ9" i="9" s="1"/>
  <c r="H9" i="9"/>
  <c r="H12" i="9"/>
  <c r="H10" i="9"/>
  <c r="N10" i="9"/>
  <c r="W12" i="9"/>
  <c r="AC10" i="9"/>
  <c r="W10" i="9"/>
  <c r="W8" i="9"/>
  <c r="AC12" i="9"/>
  <c r="N12" i="9"/>
  <c r="AX12" i="9"/>
  <c r="AZ12" i="9" s="1"/>
  <c r="AC7" i="9"/>
  <c r="AX7" i="9"/>
  <c r="AZ7" i="9" s="1"/>
  <c r="N7" i="9"/>
  <c r="AC8" i="9"/>
  <c r="H7" i="9"/>
  <c r="W7" i="9"/>
  <c r="N8" i="9"/>
  <c r="M2" i="9" s="1"/>
  <c r="H8" i="9"/>
  <c r="AX8" i="9"/>
  <c r="AZ8" i="9" s="1"/>
  <c r="L34" i="2" l="1"/>
  <c r="M34" i="2" s="1"/>
  <c r="J34" i="2"/>
  <c r="K25" i="2"/>
  <c r="J25" i="2"/>
  <c r="T23" i="9"/>
  <c r="U23" i="9" s="1"/>
  <c r="I23" i="9"/>
  <c r="J23" i="9" s="1"/>
  <c r="T22" i="9"/>
  <c r="U22" i="9" s="1"/>
  <c r="I22" i="9"/>
  <c r="J22" i="9" s="1"/>
  <c r="O2" i="9"/>
  <c r="K23" i="2"/>
  <c r="L23" i="2" s="1"/>
  <c r="T21" i="9"/>
  <c r="U21" i="9" s="1"/>
  <c r="I21" i="9"/>
  <c r="J21" i="9" s="1"/>
  <c r="K22" i="2"/>
  <c r="L22" i="2" s="1"/>
  <c r="T20" i="9"/>
  <c r="U20" i="9" s="1"/>
  <c r="I20" i="9"/>
  <c r="J20" i="9" s="1"/>
  <c r="K21" i="2"/>
  <c r="L21" i="2" s="1"/>
  <c r="T19" i="9"/>
  <c r="U19" i="9" s="1"/>
  <c r="I19" i="9"/>
  <c r="J19" i="9" s="1"/>
  <c r="K20" i="2"/>
  <c r="L20" i="2" s="1"/>
  <c r="T18" i="9"/>
  <c r="U18" i="9" s="1"/>
  <c r="I18" i="9"/>
  <c r="J18" i="9" s="1"/>
  <c r="AP5" i="9"/>
  <c r="J18" i="2" s="1"/>
  <c r="L18" i="2" s="1"/>
  <c r="I16" i="9"/>
  <c r="J16" i="9" s="1"/>
  <c r="L24" i="2"/>
  <c r="AD11" i="9"/>
  <c r="O11" i="9"/>
  <c r="O5" i="9"/>
  <c r="AD9" i="9"/>
  <c r="O9" i="9"/>
  <c r="AD5" i="9"/>
  <c r="T16" i="9"/>
  <c r="U16" i="9" s="1"/>
  <c r="AD8" i="9"/>
  <c r="O10" i="9"/>
  <c r="AD10" i="9"/>
  <c r="O7" i="9"/>
  <c r="AD12" i="9"/>
  <c r="O12" i="9"/>
  <c r="AD7" i="9"/>
  <c r="O8" i="9"/>
  <c r="O34" i="2" l="1"/>
  <c r="K19" i="9"/>
  <c r="L19" i="9" s="1"/>
  <c r="AD19" i="9" s="1"/>
  <c r="AR19" i="9" s="1"/>
  <c r="AT19" i="9" s="1"/>
  <c r="K21" i="9"/>
  <c r="L21" i="9" s="1"/>
  <c r="AD21" i="9" s="1"/>
  <c r="AR21" i="9" s="1"/>
  <c r="AT21" i="9" s="1"/>
  <c r="K22" i="9"/>
  <c r="L22" i="9" s="1"/>
  <c r="AD22" i="9" s="1"/>
  <c r="AR22" i="9" s="1"/>
  <c r="AT22" i="9" s="1"/>
  <c r="K23" i="9"/>
  <c r="L23" i="9" s="1"/>
  <c r="AD23" i="9" s="1"/>
  <c r="AR23" i="9" s="1"/>
  <c r="AT23" i="9" s="1"/>
  <c r="K16" i="9"/>
  <c r="L16" i="9" s="1"/>
  <c r="AD16" i="9" s="1"/>
  <c r="AR16" i="9" s="1"/>
  <c r="AT16" i="9" s="1"/>
  <c r="K18" i="9"/>
  <c r="L18" i="9" s="1"/>
  <c r="AD18" i="9" s="1"/>
  <c r="AR18" i="9" s="1"/>
  <c r="AT18" i="9" s="1"/>
  <c r="K20" i="9"/>
  <c r="L20" i="9" s="1"/>
  <c r="AD20" i="9" s="1"/>
  <c r="AR20" i="9" s="1"/>
  <c r="AT20" i="9" s="1"/>
  <c r="L25" i="2"/>
  <c r="P2" i="9"/>
  <c r="Q2" i="9"/>
  <c r="R2" i="9"/>
  <c r="N2" i="9"/>
  <c r="AE11" i="9"/>
  <c r="N34" i="2"/>
  <c r="R34" i="2" s="1"/>
  <c r="AE5" i="9"/>
  <c r="AE9" i="9"/>
  <c r="AE8" i="9"/>
  <c r="M21" i="2" s="1"/>
  <c r="AE10" i="9"/>
  <c r="M23" i="2" s="1"/>
  <c r="AE7" i="9"/>
  <c r="M20" i="2" s="1"/>
  <c r="AE12" i="9"/>
  <c r="V20" i="9" l="1"/>
  <c r="W20" i="9" s="1"/>
  <c r="AK20" i="9" s="1"/>
  <c r="G37" i="2" s="1"/>
  <c r="K37" i="2" s="1"/>
  <c r="V19" i="9"/>
  <c r="W19" i="9" s="1"/>
  <c r="AK19" i="9" s="1"/>
  <c r="BA19" i="9" s="1"/>
  <c r="BC19" i="9" s="1"/>
  <c r="V18" i="9"/>
  <c r="W18" i="9" s="1"/>
  <c r="AK18" i="9" s="1"/>
  <c r="BA18" i="9" s="1"/>
  <c r="BC18" i="9" s="1"/>
  <c r="V16" i="9"/>
  <c r="W16" i="9" s="1"/>
  <c r="AK16" i="9" s="1"/>
  <c r="G33" i="2" s="1"/>
  <c r="V23" i="9"/>
  <c r="W23" i="9" s="1"/>
  <c r="AK23" i="9" s="1"/>
  <c r="V22" i="9"/>
  <c r="W22" i="9" s="1"/>
  <c r="AK22" i="9" s="1"/>
  <c r="H39" i="2" s="1"/>
  <c r="V21" i="9"/>
  <c r="W21" i="9" s="1"/>
  <c r="AK21" i="9" s="1"/>
  <c r="AF12" i="9"/>
  <c r="BG12" i="9" s="1"/>
  <c r="M25" i="2"/>
  <c r="M18" i="2"/>
  <c r="M22" i="2"/>
  <c r="AF11" i="9"/>
  <c r="BG11" i="9" s="1"/>
  <c r="M24" i="2"/>
  <c r="AF5" i="9"/>
  <c r="BG5" i="9" s="1"/>
  <c r="AF9" i="9"/>
  <c r="BG9" i="9" s="1"/>
  <c r="AF8" i="9"/>
  <c r="BG8" i="9" s="1"/>
  <c r="O20" i="2"/>
  <c r="AF7" i="9"/>
  <c r="BG7" i="9" s="1"/>
  <c r="AF10" i="9"/>
  <c r="BG10" i="9" s="1"/>
  <c r="O21" i="2"/>
  <c r="N21" i="2"/>
  <c r="R21" i="2" s="1"/>
  <c r="N22" i="2" l="1"/>
  <c r="R22" i="2" s="1"/>
  <c r="N18" i="2"/>
  <c r="R18" i="2" s="1"/>
  <c r="BA20" i="9"/>
  <c r="BC20" i="9" s="1"/>
  <c r="H37" i="2"/>
  <c r="J37" i="2" s="1"/>
  <c r="H36" i="2"/>
  <c r="L36" i="2" s="1"/>
  <c r="G36" i="2"/>
  <c r="K36" i="2" s="1"/>
  <c r="G39" i="2"/>
  <c r="K39" i="2" s="1"/>
  <c r="H33" i="2"/>
  <c r="J33" i="2" s="1"/>
  <c r="BA16" i="9"/>
  <c r="BC16" i="9" s="1"/>
  <c r="BA22" i="9"/>
  <c r="BC22" i="9" s="1"/>
  <c r="L39" i="2" s="1"/>
  <c r="G38" i="2"/>
  <c r="H38" i="2"/>
  <c r="BA21" i="9"/>
  <c r="BC21" i="9" s="1"/>
  <c r="H40" i="2"/>
  <c r="BA23" i="9"/>
  <c r="BC23" i="9" s="1"/>
  <c r="G40" i="2"/>
  <c r="H35" i="2"/>
  <c r="L35" i="2" s="1"/>
  <c r="G35" i="2"/>
  <c r="G23" i="2"/>
  <c r="G21" i="2"/>
  <c r="G18" i="2"/>
  <c r="G24" i="2"/>
  <c r="G25" i="2"/>
  <c r="G20" i="2"/>
  <c r="G22" i="2"/>
  <c r="K33" i="2"/>
  <c r="O22" i="2"/>
  <c r="O18" i="2"/>
  <c r="N20" i="2"/>
  <c r="R20" i="2" s="1"/>
  <c r="L37" i="2" l="1"/>
  <c r="M37" i="2" s="1"/>
  <c r="I37" i="2"/>
  <c r="I36" i="2"/>
  <c r="I39" i="2"/>
  <c r="J39" i="2"/>
  <c r="M39" i="2"/>
  <c r="J36" i="2"/>
  <c r="I33" i="2"/>
  <c r="L33" i="2"/>
  <c r="K35" i="2"/>
  <c r="M35" i="2" s="1"/>
  <c r="J35" i="2"/>
  <c r="I35" i="2"/>
  <c r="K40" i="2"/>
  <c r="J40" i="2"/>
  <c r="I40" i="2"/>
  <c r="L40" i="2"/>
  <c r="L38" i="2"/>
  <c r="I38" i="2"/>
  <c r="J38" i="2"/>
  <c r="K38" i="2"/>
  <c r="M33" i="2"/>
  <c r="M36" i="2"/>
  <c r="N35" i="2" l="1"/>
  <c r="R35" i="2" s="1"/>
  <c r="N39" i="2"/>
  <c r="R39" i="2" s="1"/>
  <c r="O33" i="2"/>
  <c r="O37" i="2"/>
  <c r="O35" i="2"/>
  <c r="M38" i="2"/>
  <c r="M40" i="2"/>
  <c r="N33" i="2"/>
  <c r="R33" i="2" s="1"/>
  <c r="O36" i="2"/>
  <c r="N36" i="2"/>
  <c r="R36" i="2" s="1"/>
  <c r="O39" i="2"/>
  <c r="N37" i="2"/>
  <c r="R37" i="2" s="1"/>
  <c r="N25" i="2"/>
  <c r="R25" i="2" s="1"/>
  <c r="O25" i="2"/>
  <c r="O24" i="2"/>
  <c r="O23" i="2"/>
  <c r="O38" i="2" l="1"/>
  <c r="N38" i="2"/>
  <c r="R38" i="2" s="1"/>
  <c r="N40" i="2"/>
  <c r="R40" i="2" s="1"/>
  <c r="O40" i="2"/>
  <c r="N24" i="2"/>
  <c r="R24" i="2" s="1"/>
  <c r="N23" i="2"/>
  <c r="R23" i="2" s="1"/>
</calcChain>
</file>

<file path=xl/sharedStrings.xml><?xml version="1.0" encoding="utf-8"?>
<sst xmlns="http://schemas.openxmlformats.org/spreadsheetml/2006/main" count="592" uniqueCount="246">
  <si>
    <t>WW Current</t>
  </si>
  <si>
    <t>T^3</t>
  </si>
  <si>
    <t>T^2</t>
  </si>
  <si>
    <t>CW Current</t>
  </si>
  <si>
    <t>CCT</t>
  </si>
  <si>
    <t>Tc</t>
  </si>
  <si>
    <t>I^3</t>
  </si>
  <si>
    <t>I^2</t>
  </si>
  <si>
    <t>Part Number</t>
  </si>
  <si>
    <t>WW Lumens</t>
  </si>
  <si>
    <t>CW Lumens</t>
  </si>
  <si>
    <t>Section 1</t>
  </si>
  <si>
    <t>Case Temperature (°C):</t>
  </si>
  <si>
    <t>Case</t>
  </si>
  <si>
    <t>Lumen Output at Required Drive Current</t>
  </si>
  <si>
    <t>Section 2</t>
  </si>
  <si>
    <t>Calculate lumens for selected drive current</t>
  </si>
  <si>
    <t>Config</t>
  </si>
  <si>
    <t>A</t>
  </si>
  <si>
    <t>T^4</t>
  </si>
  <si>
    <t>I^4</t>
  </si>
  <si>
    <t>Master Table</t>
  </si>
  <si>
    <t>Product Family</t>
  </si>
  <si>
    <t>Lumen Family</t>
  </si>
  <si>
    <t>Generation</t>
  </si>
  <si>
    <t>P/N</t>
  </si>
  <si>
    <t>Typical Lumens</t>
  </si>
  <si>
    <t>Typical Efficacy</t>
  </si>
  <si>
    <t>Typical Voltage</t>
  </si>
  <si>
    <t>Typical Current</t>
  </si>
  <si>
    <t>Max Current</t>
  </si>
  <si>
    <t>V^4</t>
  </si>
  <si>
    <t>V^3</t>
  </si>
  <si>
    <t>V^2</t>
  </si>
  <si>
    <t>V</t>
  </si>
  <si>
    <t>V0</t>
  </si>
  <si>
    <t>I</t>
  </si>
  <si>
    <t>I0</t>
  </si>
  <si>
    <t>I^32</t>
  </si>
  <si>
    <t>T</t>
  </si>
  <si>
    <t>T0</t>
  </si>
  <si>
    <t>2750G</t>
  </si>
  <si>
    <t>BXRV</t>
  </si>
  <si>
    <t>TR</t>
  </si>
  <si>
    <t>Tunable White Array</t>
  </si>
  <si>
    <t>Nominal CCT+CRI</t>
  </si>
  <si>
    <t>Temperature Vs Flux</t>
  </si>
  <si>
    <t>LOP v Current</t>
  </si>
  <si>
    <t>Voltage v Current</t>
  </si>
  <si>
    <t>2765G</t>
  </si>
  <si>
    <t>Warm White</t>
  </si>
  <si>
    <t>20A0</t>
  </si>
  <si>
    <t>dV/dT (mV/C)</t>
  </si>
  <si>
    <t>2750S</t>
  </si>
  <si>
    <t>2765S</t>
  </si>
  <si>
    <t>1830G</t>
  </si>
  <si>
    <t>1840G</t>
  </si>
  <si>
    <t>Typical Values</t>
  </si>
  <si>
    <t>T^32</t>
  </si>
  <si>
    <t>T^22</t>
  </si>
  <si>
    <t>CCT vs Lumen Ratio</t>
  </si>
  <si>
    <t>Typical Lumens2</t>
  </si>
  <si>
    <t>Cool White</t>
  </si>
  <si>
    <t>LR(CW)^4</t>
  </si>
  <si>
    <t>LR(CW)^3</t>
  </si>
  <si>
    <t>LR(CW)^2</t>
  </si>
  <si>
    <t>LR(CW)^1</t>
  </si>
  <si>
    <t>LR(CW)^0</t>
  </si>
  <si>
    <t>LR(WW)^4</t>
  </si>
  <si>
    <t>LR(WW)^3</t>
  </si>
  <si>
    <t>LR(WW)^2</t>
  </si>
  <si>
    <t>LR(WW)^1</t>
  </si>
  <si>
    <t>LR(WW)^0</t>
  </si>
  <si>
    <t>Lumen Ratio vs CCT (WW)</t>
  </si>
  <si>
    <t>CCT(WW)^4</t>
  </si>
  <si>
    <t>CCT(WW)^3</t>
  </si>
  <si>
    <t>CCT(WW)^2</t>
  </si>
  <si>
    <t>CCT(WW)^1</t>
  </si>
  <si>
    <t>CCT(WW)^0</t>
  </si>
  <si>
    <t>CCT(CW)^4</t>
  </si>
  <si>
    <t>CCT(CW)^3</t>
  </si>
  <si>
    <t>CCT(CW)^2</t>
  </si>
  <si>
    <t>CCT(CW)^1</t>
  </si>
  <si>
    <t>CCT(CW)^0</t>
  </si>
  <si>
    <t>Lumen Ratio vs CCT (CW)</t>
  </si>
  <si>
    <t>LOP (WW) vs Current</t>
  </si>
  <si>
    <t>LOP(WW)^4</t>
  </si>
  <si>
    <t>LOP(WW)^3</t>
  </si>
  <si>
    <t>LOP(WW)^2</t>
  </si>
  <si>
    <t>LOP(WW)^1</t>
  </si>
  <si>
    <t>LOP(WW)^0</t>
  </si>
  <si>
    <t>LOP(CW)^4</t>
  </si>
  <si>
    <t>LOP(CW)^3</t>
  </si>
  <si>
    <t>LOP(CW)^2</t>
  </si>
  <si>
    <t>LOP(CW)^1</t>
  </si>
  <si>
    <t>LOP(CW)^0</t>
  </si>
  <si>
    <t>LOP (CW) vs Current</t>
  </si>
  <si>
    <t>Flux Calculations</t>
  </si>
  <si>
    <t>6mm</t>
  </si>
  <si>
    <t>Product LES</t>
  </si>
  <si>
    <t>9mm</t>
  </si>
  <si>
    <t>13mm</t>
  </si>
  <si>
    <t>15mm</t>
  </si>
  <si>
    <t>18mm</t>
  </si>
  <si>
    <t>22mm</t>
  </si>
  <si>
    <t>29mm</t>
  </si>
  <si>
    <t>DP</t>
  </si>
  <si>
    <t>Vesta Series Tunable White, Vesta Series Thrive</t>
  </si>
  <si>
    <t>Enter WARM WHITE Current in mA:</t>
  </si>
  <si>
    <t>Current Ratio (WW/WW+CW)</t>
  </si>
  <si>
    <t>Combined Current</t>
  </si>
  <si>
    <t>2700K-6500K, 90 CRI</t>
  </si>
  <si>
    <t>2700K-5000K, 90 CRI</t>
  </si>
  <si>
    <t>2700K-5000K, Thrive</t>
  </si>
  <si>
    <t>2700K-6500K, Thrive</t>
  </si>
  <si>
    <t>1800K-3000K, 90 CRI</t>
  </si>
  <si>
    <t>1800K-4000K, 90 CRI</t>
  </si>
  <si>
    <t>Code</t>
  </si>
  <si>
    <t>13mm-DP</t>
  </si>
  <si>
    <t>Enter FLUX requirement in Lumens:</t>
  </si>
  <si>
    <t>Current Output for Given Lumen and CCT Requirement</t>
  </si>
  <si>
    <t>Warm White Current (mA)</t>
  </si>
  <si>
    <t>Cool White Current (mA)</t>
  </si>
  <si>
    <t>LES-Type</t>
  </si>
  <si>
    <t>Tech</t>
  </si>
  <si>
    <t>PF+CCT+Tech</t>
  </si>
  <si>
    <t>Nominal Flux - Warm White</t>
  </si>
  <si>
    <t>Inputs</t>
  </si>
  <si>
    <t>WW Currrent</t>
  </si>
  <si>
    <t>Flux - WW</t>
  </si>
  <si>
    <t>6mm-DP</t>
  </si>
  <si>
    <t>15mm-DP</t>
  </si>
  <si>
    <t>18mm-DP</t>
  </si>
  <si>
    <t>22mm-DP</t>
  </si>
  <si>
    <t>29mm-DP</t>
  </si>
  <si>
    <t>Temp-WW</t>
  </si>
  <si>
    <t>FxT-WW</t>
  </si>
  <si>
    <t>Nominal Flux - Cool White</t>
  </si>
  <si>
    <t>Flux - CW</t>
  </si>
  <si>
    <t>I^42</t>
  </si>
  <si>
    <t>I^22</t>
  </si>
  <si>
    <t>I^12</t>
  </si>
  <si>
    <t>I^02</t>
  </si>
  <si>
    <t>T^42</t>
  </si>
  <si>
    <t>T^12</t>
  </si>
  <si>
    <t>T^02</t>
  </si>
  <si>
    <t>WW+CW</t>
  </si>
  <si>
    <t>WW Voltage
(V)</t>
  </si>
  <si>
    <t>CW Voltage
(V)</t>
  </si>
  <si>
    <t>Combined Power
(W)</t>
  </si>
  <si>
    <t>Nominal Voltage</t>
  </si>
  <si>
    <t>V-WW</t>
  </si>
  <si>
    <t>dV@T</t>
  </si>
  <si>
    <t>Typical Efficacy2</t>
  </si>
  <si>
    <t>dV/dT (mV/C)2</t>
  </si>
  <si>
    <t>V^42</t>
  </si>
  <si>
    <t>V^32</t>
  </si>
  <si>
    <t>V^22</t>
  </si>
  <si>
    <t>V^12</t>
  </si>
  <si>
    <t>V^02</t>
  </si>
  <si>
    <t>WW/(WW+CW)</t>
  </si>
  <si>
    <t>FxT-CW</t>
  </si>
  <si>
    <t>Temp-CW</t>
  </si>
  <si>
    <t>Current Calculations</t>
  </si>
  <si>
    <t>CCT and Lumen Calculations</t>
  </si>
  <si>
    <t>Lumen</t>
  </si>
  <si>
    <t>Flux@T</t>
  </si>
  <si>
    <t>LOP%</t>
  </si>
  <si>
    <t>Bridgelux Tunable White Product Simulator</t>
  </si>
  <si>
    <t>Enter color range/CRI and temperature values:</t>
  </si>
  <si>
    <t>06A0</t>
  </si>
  <si>
    <t>B</t>
  </si>
  <si>
    <t>10A0</t>
  </si>
  <si>
    <t>30A0</t>
  </si>
  <si>
    <t>40A0</t>
  </si>
  <si>
    <t>65A0</t>
  </si>
  <si>
    <t>1KA0</t>
  </si>
  <si>
    <t>DP-A</t>
  </si>
  <si>
    <t>DP-B</t>
  </si>
  <si>
    <t>9mm-DP-A</t>
  </si>
  <si>
    <t>9mm-DP-B</t>
  </si>
  <si>
    <t>Bridgelux® Product Simulator</t>
  </si>
  <si>
    <t>User Guide</t>
  </si>
  <si>
    <t>What does it do?</t>
  </si>
  <si>
    <t>What products are supported?</t>
  </si>
  <si>
    <t>How do I use the Product Simulator?</t>
  </si>
  <si>
    <r>
      <t>1.</t>
    </r>
    <r>
      <rPr>
        <sz val="7"/>
        <color theme="1"/>
        <rFont val="Times New Roman"/>
        <family val="1"/>
      </rPr>
      <t>     </t>
    </r>
    <r>
      <rPr>
        <sz val="11"/>
        <color theme="1"/>
        <rFont val="Calibri"/>
        <family val="2"/>
      </rPr>
      <t>Enter basic information about your application in Section 1 of the Simulator</t>
    </r>
  </si>
  <si>
    <r>
      <t>·</t>
    </r>
    <r>
      <rPr>
        <sz val="7"/>
        <color theme="1"/>
        <rFont val="Times New Roman"/>
        <family val="1"/>
      </rPr>
      <t xml:space="preserve">         </t>
    </r>
    <r>
      <rPr>
        <sz val="11"/>
        <color theme="1"/>
        <rFont val="Calibri"/>
        <family val="2"/>
      </rPr>
      <t>Enter the operating Case Temperature in degrees Celsius:</t>
    </r>
  </si>
  <si>
    <t>enter required lumen value:</t>
  </si>
  <si>
    <t>·         The Simulator will show product options and required drive currents for Gen. 8 Vero and V Series products</t>
  </si>
  <si>
    <r>
      <t>Note: typical lumen tested under pulsed condition (10ms pulse width) at nominal test current where T</t>
    </r>
    <r>
      <rPr>
        <vertAlign val="subscript"/>
        <sz val="11"/>
        <color theme="1"/>
        <rFont val="Calibri"/>
        <family val="2"/>
      </rPr>
      <t>j</t>
    </r>
    <r>
      <rPr>
        <sz val="11"/>
        <color theme="1"/>
        <rFont val="Calibri"/>
        <family val="2"/>
      </rPr>
      <t xml:space="preserve"> (junction temperature) = T</t>
    </r>
    <r>
      <rPr>
        <vertAlign val="subscript"/>
        <sz val="11"/>
        <color theme="1"/>
        <rFont val="Calibri"/>
        <family val="2"/>
      </rPr>
      <t>c</t>
    </r>
    <r>
      <rPr>
        <sz val="11"/>
        <color theme="1"/>
        <rFont val="Calibri"/>
        <family val="2"/>
      </rPr>
      <t xml:space="preserve"> (case temperature) = 25°C</t>
    </r>
  </si>
  <si>
    <t>How do I read the Part Number?</t>
  </si>
  <si>
    <t>For product nomenclature refer to product datasheets.</t>
  </si>
  <si>
    <t>As an example, the part number designation for Bridgelux Gen. 8 Vero LED arrays is explained as follows:</t>
  </si>
  <si>
    <t>Where:</t>
  </si>
  <si>
    <t>Disclaimer</t>
  </si>
  <si>
    <r>
      <t>1.</t>
    </r>
    <r>
      <rPr>
        <sz val="7"/>
        <color theme="1"/>
        <rFont val="Times New Roman"/>
        <family val="1"/>
      </rPr>
      <t xml:space="preserve">       </t>
    </r>
    <r>
      <rPr>
        <sz val="11"/>
        <color theme="1"/>
        <rFont val="Calibri"/>
        <family val="2"/>
      </rPr>
      <t>Calculated values in the Product Simulator are measured under stabilized direct current conditions to more accurately represent the COB performance in a typical fixture application. Please refer to the appropriate COB Datasheet and Product Selection Guide for pulsed measurement specifications.</t>
    </r>
  </si>
  <si>
    <t>Color Temperature Range and CRI:</t>
  </si>
  <si>
    <r>
      <t xml:space="preserve">Use this tool to select the most suitable Bridgelux® Tunable White Array for an application. You can choose the array based on either the </t>
    </r>
    <r>
      <rPr>
        <b/>
        <sz val="11"/>
        <color theme="1"/>
        <rFont val="Calibri"/>
        <family val="2"/>
      </rPr>
      <t>DRIVE CURRENTS of EACH CHANNEL</t>
    </r>
    <r>
      <rPr>
        <sz val="11"/>
        <color theme="1"/>
        <rFont val="Calibri"/>
        <family val="2"/>
      </rPr>
      <t xml:space="preserve"> you want to use or the </t>
    </r>
    <r>
      <rPr>
        <b/>
        <sz val="11"/>
        <color theme="1"/>
        <rFont val="Calibri"/>
        <family val="2"/>
      </rPr>
      <t>LUMEN OUTPUT</t>
    </r>
    <r>
      <rPr>
        <sz val="11"/>
        <color theme="1"/>
        <rFont val="Calibri"/>
        <family val="2"/>
      </rPr>
      <t xml:space="preserve"> you require.</t>
    </r>
  </si>
  <si>
    <t>This tool will help you select Bridgelux® Tunable White Dispensed Phosphor and CSP products</t>
  </si>
  <si>
    <r>
      <t>·</t>
    </r>
    <r>
      <rPr>
        <sz val="7"/>
        <color theme="1"/>
        <rFont val="Times New Roman"/>
        <family val="1"/>
      </rPr>
      <t xml:space="preserve">         </t>
    </r>
    <r>
      <rPr>
        <sz val="11"/>
        <color theme="1"/>
        <rFont val="Calibri"/>
        <family val="2"/>
      </rPr>
      <t>Select the required CCT Range and CRI from the drop down menu:</t>
    </r>
  </si>
  <si>
    <r>
      <t>2.</t>
    </r>
    <r>
      <rPr>
        <sz val="7"/>
        <color theme="1"/>
        <rFont val="Times New Roman"/>
        <family val="1"/>
      </rPr>
      <t>     </t>
    </r>
    <r>
      <rPr>
        <sz val="11"/>
        <color theme="1"/>
        <rFont val="Calibri"/>
        <family val="2"/>
      </rPr>
      <t xml:space="preserve">If you are designing to a fixed </t>
    </r>
    <r>
      <rPr>
        <b/>
        <sz val="11"/>
        <color theme="1"/>
        <rFont val="Calibri"/>
        <family val="2"/>
      </rPr>
      <t>DRIVE CURRENTS</t>
    </r>
    <r>
      <rPr>
        <sz val="11"/>
        <color theme="1"/>
        <rFont val="Calibri"/>
        <family val="2"/>
      </rPr>
      <t xml:space="preserve"> go to Section 2 and enter the required drive</t>
    </r>
  </si>
  <si>
    <t>currents of warm and cool channels</t>
  </si>
  <si>
    <t>·         The Simulator will show product options for Tunable White DP and CSP products</t>
  </si>
  <si>
    <r>
      <t>3.</t>
    </r>
    <r>
      <rPr>
        <sz val="7"/>
        <color theme="1"/>
        <rFont val="Times New Roman"/>
        <family val="1"/>
      </rPr>
      <t>     </t>
    </r>
    <r>
      <rPr>
        <sz val="11"/>
        <color theme="1"/>
        <rFont val="Calibri"/>
        <family val="2"/>
      </rPr>
      <t xml:space="preserve">If you are designing to meet a required </t>
    </r>
    <r>
      <rPr>
        <b/>
        <sz val="11"/>
        <color theme="1"/>
        <rFont val="Calibri"/>
        <family val="2"/>
      </rPr>
      <t>LUMEN</t>
    </r>
    <r>
      <rPr>
        <sz val="11"/>
        <color theme="1"/>
        <rFont val="Calibri"/>
        <family val="2"/>
      </rPr>
      <t xml:space="preserve"> and </t>
    </r>
    <r>
      <rPr>
        <b/>
        <sz val="11"/>
        <color theme="1"/>
        <rFont val="Calibri"/>
        <family val="2"/>
      </rPr>
      <t>CCT</t>
    </r>
    <r>
      <rPr>
        <sz val="11"/>
        <color theme="1"/>
        <rFont val="Calibri"/>
        <family val="2"/>
      </rPr>
      <t xml:space="preserve"> target, use Section 3 of the Simulator and </t>
    </r>
  </si>
  <si>
    <t>Section 3</t>
  </si>
  <si>
    <r>
      <rPr>
        <b/>
        <sz val="11"/>
        <color theme="1"/>
        <rFont val="Calibri"/>
        <family val="2"/>
      </rPr>
      <t>BXRV</t>
    </r>
    <r>
      <rPr>
        <sz val="11"/>
        <color theme="1"/>
        <rFont val="Calibri"/>
        <family val="2"/>
      </rPr>
      <t xml:space="preserve"> – Designates product family</t>
    </r>
  </si>
  <si>
    <r>
      <rPr>
        <b/>
        <sz val="11"/>
        <color theme="1"/>
        <rFont val="Calibri"/>
        <family val="2"/>
      </rPr>
      <t>AB</t>
    </r>
    <r>
      <rPr>
        <sz val="11"/>
        <color theme="1"/>
        <rFont val="Calibri"/>
        <family val="2"/>
      </rPr>
      <t xml:space="preserve"> – Designates the nominal type and shape of the product TR = Tunable White Round</t>
    </r>
  </si>
  <si>
    <r>
      <rPr>
        <b/>
        <sz val="11"/>
        <color theme="1"/>
        <rFont val="Calibri"/>
        <family val="2"/>
      </rPr>
      <t>G</t>
    </r>
    <r>
      <rPr>
        <sz val="11"/>
        <color theme="1"/>
        <rFont val="Calibri"/>
        <family val="2"/>
      </rPr>
      <t xml:space="preserve"> – Designates minimum CRI; G = 90 typical</t>
    </r>
  </si>
  <si>
    <r>
      <rPr>
        <b/>
        <sz val="11"/>
        <color theme="1"/>
        <rFont val="Calibri"/>
        <family val="2"/>
      </rPr>
      <t>CDEF</t>
    </r>
    <r>
      <rPr>
        <sz val="11"/>
        <color theme="1"/>
        <rFont val="Calibri"/>
        <family val="2"/>
      </rPr>
      <t xml:space="preserve"> – Designates nominal CCT tuning range, 2750 = 2700K - 5000K</t>
    </r>
  </si>
  <si>
    <r>
      <rPr>
        <b/>
        <sz val="11"/>
        <color theme="1"/>
        <rFont val="Calibri"/>
        <family val="2"/>
      </rPr>
      <t>HIJK</t>
    </r>
    <r>
      <rPr>
        <sz val="11"/>
        <color theme="1"/>
        <rFont val="Calibri"/>
        <family val="2"/>
      </rPr>
      <t xml:space="preserve"> – Designates typical lumen values and DP configuration, for example, 06A0 indicates 600 lumens and DP technology</t>
    </r>
  </si>
  <si>
    <t>BXRC – AB - CDEFG – HIJK – L-MN</t>
  </si>
  <si>
    <r>
      <rPr>
        <b/>
        <sz val="11"/>
        <color theme="1"/>
        <rFont val="Calibri"/>
        <family val="2"/>
      </rPr>
      <t>L</t>
    </r>
    <r>
      <rPr>
        <sz val="11"/>
        <color theme="1"/>
        <rFont val="Calibri"/>
        <family val="2"/>
      </rPr>
      <t xml:space="preserve"> – Designates Voltage configuration</t>
    </r>
  </si>
  <si>
    <r>
      <rPr>
        <b/>
        <sz val="11"/>
        <color theme="1"/>
        <rFont val="新細明體"/>
        <family val="2"/>
        <scheme val="minor"/>
      </rPr>
      <t>MN</t>
    </r>
    <r>
      <rPr>
        <sz val="11"/>
        <color theme="1"/>
        <rFont val="新細明體"/>
        <family val="2"/>
        <scheme val="minor"/>
      </rPr>
      <t>- Designates the Generation and SDCM range</t>
    </r>
  </si>
  <si>
    <t>23 = 2nd Gen, 3 SDCM</t>
  </si>
  <si>
    <t>Part Numbers</t>
  </si>
  <si>
    <t>Enter CCT requirement in Kelvin</t>
  </si>
  <si>
    <t xml:space="preserve">·         The Simulator will show product options for Tunable White DP and CSP products, CCT estimates within +/-100K </t>
  </si>
  <si>
    <t>Nominal Combined
 Current 
 (mA)</t>
  </si>
  <si>
    <t>Max Combined
Current
(mA)</t>
  </si>
  <si>
    <t>WW - CCT</t>
  </si>
  <si>
    <t>CW - CCT</t>
  </si>
  <si>
    <t>WW-CCT</t>
  </si>
  <si>
    <t>CW-CCT</t>
  </si>
  <si>
    <t>Flux</t>
    <phoneticPr fontId="61" type="noConversion"/>
  </si>
  <si>
    <t>Flux vs Current Ratio</t>
    <phoneticPr fontId="61" type="noConversion"/>
  </si>
  <si>
    <t>Typical Voltage2</t>
    <phoneticPr fontId="61" type="noConversion"/>
  </si>
  <si>
    <t>LR(CW)^4</t>
    <phoneticPr fontId="61" type="noConversion"/>
  </si>
  <si>
    <t>LR(CW)^3</t>
    <phoneticPr fontId="61" type="noConversion"/>
  </si>
  <si>
    <t>LR(CW)^2</t>
    <phoneticPr fontId="61" type="noConversion"/>
  </si>
  <si>
    <t>LR(CW)^1</t>
    <phoneticPr fontId="61" type="noConversion"/>
  </si>
  <si>
    <t>LR(CW)^0</t>
    <phoneticPr fontId="61" type="noConversion"/>
  </si>
  <si>
    <t>BXRV-TR-1840S-10A0-A-25</t>
    <phoneticPr fontId="61" type="noConversion"/>
  </si>
  <si>
    <t>1840S</t>
    <phoneticPr fontId="61" type="noConversion"/>
  </si>
  <si>
    <t>1800K-4000K, Thrive</t>
    <phoneticPr fontId="61" type="noConversion"/>
  </si>
  <si>
    <t>Enter COOL WHITE Current in mA:</t>
  </si>
  <si>
    <t>EPREL Energy efficiency class</t>
    <phoneticPr fontId="66" type="noConversion"/>
  </si>
  <si>
    <t>Please note that the Product Simulator is solely intended to help ease your selection of Bridgelux LED array products based upon your selection of attribute options for each of the criteria provided in the Product Simulator. The Product Simulator is NOT intended as a design tool for luminaire or fixture products nor intended for the selection of LED array products to be used as a component in a particular luminaire or fixture application. Bridgelux disclaims all liability for the results of any product selection through the use of the Product Simulator.</t>
    <phoneticPr fontId="61" type="noConversion"/>
  </si>
  <si>
    <t>2750S</t>
    <phoneticPr fontId="61" type="noConversion"/>
  </si>
  <si>
    <t>2765S</t>
    <phoneticPr fontId="61" type="noConversion"/>
  </si>
  <si>
    <t>B</t>
    <phoneticPr fontId="61" type="noConversion"/>
  </si>
  <si>
    <t>DP-B</t>
    <phoneticPr fontId="61" type="noConversion"/>
  </si>
  <si>
    <t>1840G</t>
    <phoneticPr fontId="61" type="noConversion"/>
  </si>
  <si>
    <t>1840S</t>
    <phoneticPr fontId="61" type="noConversion"/>
  </si>
  <si>
    <t>B</t>
    <phoneticPr fontId="61" type="noConversion"/>
  </si>
  <si>
    <t>Rev 9</t>
    <phoneticPr fontId="6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</si>
</sst>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_(&quot;$&quot;* #,##0.00_);_(&quot;$&quot;* \(#,##0.00\);_(&quot;$&quot;* &quot;-&quot;??_);_(@_)"/>
    <numFmt numFmtId="177" formatCode="_(* #,##0.00_);_(* \(#,##0.00\);_(* &quot;-&quot;??_);_(@_)"/>
    <numFmt numFmtId="178" formatCode="0.0"/>
    <numFmt numFmtId="179" formatCode="0.0000"/>
    <numFmt numFmtId="180" formatCode="0.000"/>
    <numFmt numFmtId="181" formatCode="0.000E+00"/>
    <numFmt numFmtId="182" formatCode="0.00000"/>
    <numFmt numFmtId="183" formatCode="0.000000"/>
    <numFmt numFmtId="184" formatCode="0.000%"/>
    <numFmt numFmtId="185" formatCode="0.000000000000000%"/>
    <numFmt numFmtId="186" formatCode="0.00000000"/>
    <numFmt numFmtId="187" formatCode="0.000000000"/>
    <numFmt numFmtId="188" formatCode="0.0000000000"/>
    <numFmt numFmtId="189" formatCode="0.00000000000"/>
    <numFmt numFmtId="190" formatCode="0.000000000000"/>
  </numFmts>
  <fonts count="67" x14ac:knownFonts="1">
    <font>
      <sz val="11"/>
      <color theme="1"/>
      <name val="新細明體"/>
      <family val="2"/>
      <scheme val="minor"/>
    </font>
    <font>
      <sz val="11"/>
      <color theme="1"/>
      <name val="新細明體"/>
      <family val="2"/>
      <scheme val="minor"/>
    </font>
    <font>
      <b/>
      <sz val="11"/>
      <color theme="1"/>
      <name val="新細明體"/>
      <family val="2"/>
      <scheme val="minor"/>
    </font>
    <font>
      <sz val="11"/>
      <name val="新細明體"/>
      <family val="2"/>
      <scheme val="minor"/>
    </font>
    <font>
      <sz val="11"/>
      <color indexed="8"/>
      <name val="Calibri"/>
      <family val="2"/>
    </font>
    <font>
      <sz val="11"/>
      <color indexed="9"/>
      <name val="Calibri"/>
      <family val="2"/>
    </font>
    <font>
      <sz val="11"/>
      <color rgb="FF9C0006"/>
      <name val="新細明體"/>
      <family val="1"/>
      <charset val="136"/>
      <scheme val="minor"/>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1"/>
      <color theme="1"/>
      <name val="新細明體"/>
      <family val="1"/>
      <charset val="136"/>
      <scheme val="minor"/>
    </font>
    <font>
      <b/>
      <sz val="11"/>
      <color indexed="63"/>
      <name val="Calibri"/>
      <family val="2"/>
    </font>
    <font>
      <b/>
      <sz val="18"/>
      <color indexed="56"/>
      <name val="Cambria"/>
      <family val="1"/>
    </font>
    <font>
      <b/>
      <sz val="11"/>
      <color indexed="8"/>
      <name val="Calibri"/>
      <family val="2"/>
    </font>
    <font>
      <sz val="11"/>
      <color indexed="10"/>
      <name val="Calibri"/>
      <family val="2"/>
    </font>
    <font>
      <sz val="8"/>
      <color rgb="FFC00000"/>
      <name val="Arial"/>
      <family val="2"/>
    </font>
    <font>
      <sz val="8"/>
      <name val="Arial"/>
      <family val="2"/>
    </font>
    <font>
      <b/>
      <sz val="27"/>
      <name val="Arial"/>
      <family val="2"/>
    </font>
    <font>
      <sz val="8"/>
      <color theme="0"/>
      <name val="Arial"/>
      <family val="2"/>
    </font>
    <font>
      <sz val="11"/>
      <name val="Arial"/>
      <family val="2"/>
    </font>
    <font>
      <sz val="11"/>
      <color theme="0"/>
      <name val="Arial"/>
      <family val="2"/>
    </font>
    <font>
      <sz val="11"/>
      <color rgb="FFC00000"/>
      <name val="Arial"/>
      <family val="2"/>
    </font>
    <font>
      <b/>
      <sz val="10"/>
      <color rgb="FFC00000"/>
      <name val="Arial"/>
      <family val="2"/>
    </font>
    <font>
      <sz val="10"/>
      <color rgb="FFC00000"/>
      <name val="Arial"/>
      <family val="2"/>
    </font>
    <font>
      <sz val="12"/>
      <name val="Arial"/>
      <family val="2"/>
    </font>
    <font>
      <sz val="14"/>
      <color rgb="FFF7F7F7"/>
      <name val="Arial"/>
      <family val="2"/>
    </font>
    <font>
      <sz val="11"/>
      <color rgb="FFF7F7F7"/>
      <name val="Arial"/>
      <family val="2"/>
    </font>
    <font>
      <sz val="12"/>
      <color rgb="FFF7F7F7"/>
      <name val="Arial"/>
      <family val="2"/>
    </font>
    <font>
      <sz val="11"/>
      <color rgb="FFB3272D"/>
      <name val="Arial"/>
      <family val="2"/>
    </font>
    <font>
      <sz val="12"/>
      <color rgb="FFB3272D"/>
      <name val="Arial"/>
      <family val="2"/>
    </font>
    <font>
      <b/>
      <sz val="14"/>
      <color theme="0"/>
      <name val="Arial"/>
      <family val="2"/>
    </font>
    <font>
      <sz val="14"/>
      <color theme="0"/>
      <name val="Arial"/>
      <family val="2"/>
    </font>
    <font>
      <b/>
      <sz val="20"/>
      <color theme="1"/>
      <name val="Arial"/>
      <family val="2"/>
    </font>
    <font>
      <sz val="18"/>
      <color theme="1"/>
      <name val="Arial"/>
      <family val="2"/>
    </font>
    <font>
      <sz val="10"/>
      <name val="Calibri"/>
      <family val="2"/>
    </font>
    <font>
      <sz val="12"/>
      <color rgb="FFFF0000"/>
      <name val="Arial"/>
      <family val="2"/>
    </font>
    <font>
      <sz val="11"/>
      <color rgb="FFFF0000"/>
      <name val="Arial"/>
      <family val="2"/>
    </font>
    <font>
      <u/>
      <sz val="11"/>
      <color theme="10"/>
      <name val="Arial"/>
      <family val="2"/>
    </font>
    <font>
      <b/>
      <sz val="11"/>
      <color theme="0"/>
      <name val="新細明體"/>
      <family val="2"/>
      <scheme val="minor"/>
    </font>
    <font>
      <sz val="12"/>
      <color theme="1"/>
      <name val="新細明體"/>
      <family val="1"/>
      <charset val="136"/>
      <scheme val="minor"/>
    </font>
    <font>
      <sz val="11"/>
      <color theme="1"/>
      <name val="新細明體"/>
      <family val="2"/>
      <scheme val="minor"/>
    </font>
    <font>
      <sz val="11"/>
      <color theme="1"/>
      <name val="Arial"/>
      <family val="2"/>
    </font>
    <font>
      <b/>
      <sz val="11"/>
      <color theme="1"/>
      <name val="Calibri"/>
      <family val="2"/>
    </font>
    <font>
      <sz val="11"/>
      <color theme="1"/>
      <name val="Calibri"/>
      <family val="2"/>
    </font>
    <font>
      <sz val="7"/>
      <color theme="1"/>
      <name val="Times New Roman"/>
      <family val="1"/>
    </font>
    <font>
      <sz val="11"/>
      <color theme="1"/>
      <name val="Symbol"/>
      <family val="1"/>
      <charset val="2"/>
    </font>
    <font>
      <vertAlign val="subscript"/>
      <sz val="11"/>
      <color theme="1"/>
      <name val="Calibri"/>
      <family val="2"/>
    </font>
    <font>
      <sz val="11"/>
      <color indexed="8"/>
      <name val="Arial"/>
      <family val="2"/>
    </font>
    <font>
      <u/>
      <sz val="10"/>
      <color theme="10"/>
      <name val="Arial"/>
      <family val="2"/>
    </font>
    <font>
      <u/>
      <sz val="11"/>
      <color theme="10"/>
      <name val="新細明體"/>
      <family val="2"/>
      <scheme val="minor"/>
    </font>
    <font>
      <sz val="10"/>
      <name val="Helv"/>
      <family val="2"/>
    </font>
    <font>
      <sz val="11"/>
      <color theme="1"/>
      <name val="新細明體"/>
      <family val="1"/>
      <charset val="136"/>
      <scheme val="minor"/>
    </font>
    <font>
      <sz val="9"/>
      <name val="新細明體"/>
      <family val="3"/>
      <charset val="136"/>
      <scheme val="minor"/>
    </font>
    <font>
      <sz val="11"/>
      <color rgb="FFFF0000"/>
      <name val="新細明體"/>
      <family val="2"/>
      <scheme val="minor"/>
    </font>
    <font>
      <sz val="11"/>
      <color rgb="FFFF0000"/>
      <name val="新細明體"/>
      <family val="1"/>
      <charset val="136"/>
      <scheme val="minor"/>
    </font>
    <font>
      <sz val="11"/>
      <color rgb="FF0070C0"/>
      <name val="新細明體"/>
      <family val="2"/>
      <scheme val="minor"/>
    </font>
    <font>
      <sz val="11"/>
      <color rgb="FF0070C0"/>
      <name val="新細明體"/>
      <family val="1"/>
      <charset val="136"/>
      <scheme val="minor"/>
    </font>
    <font>
      <sz val="9"/>
      <name val="細明體"/>
      <family val="3"/>
      <charset val="136"/>
    </font>
  </fonts>
  <fills count="46">
    <fill>
      <patternFill patternType="none"/>
    </fill>
    <fill>
      <patternFill patternType="gray125"/>
    </fill>
    <fill>
      <patternFill patternType="solid">
        <fgColor rgb="FFFFC7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B3272D"/>
        <bgColor indexed="64"/>
      </patternFill>
    </fill>
    <fill>
      <patternFill patternType="solid">
        <fgColor theme="0" tint="-4.9989318521683403E-2"/>
        <bgColor indexed="64"/>
      </patternFill>
    </fill>
    <fill>
      <patternFill patternType="solid">
        <fgColor theme="0"/>
        <bgColor indexed="64"/>
      </patternFill>
    </fill>
    <fill>
      <patternFill patternType="solid">
        <fgColor rgb="FFC9C8C7"/>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00"/>
        <bgColor indexed="64"/>
      </patternFill>
    </fill>
  </fills>
  <borders count="5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8" tint="-0.499984740745262"/>
      </right>
      <top style="thin">
        <color indexed="64"/>
      </top>
      <bottom/>
      <diagonal/>
    </border>
    <border>
      <left style="thin">
        <color theme="8" tint="-0.499984740745262"/>
      </left>
      <right/>
      <top style="thin">
        <color indexed="64"/>
      </top>
      <bottom/>
      <diagonal/>
    </border>
    <border>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auto="1"/>
      </left>
      <right/>
      <top style="thin">
        <color theme="0"/>
      </top>
      <bottom style="thin">
        <color theme="0"/>
      </bottom>
      <diagonal/>
    </border>
    <border>
      <left style="thin">
        <color theme="0"/>
      </left>
      <right style="thin">
        <color indexed="64"/>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theme="4" tint="0.39997558519241921"/>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theme="4" tint="0.39997558519241921"/>
      </top>
      <bottom/>
      <diagonal/>
    </border>
    <border>
      <left style="medium">
        <color indexed="64"/>
      </left>
      <right style="medium">
        <color indexed="64"/>
      </right>
      <top/>
      <bottom/>
      <diagonal/>
    </border>
    <border>
      <left style="thin">
        <color auto="1"/>
      </left>
      <right/>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style="thin">
        <color indexed="64"/>
      </right>
      <top style="thin">
        <color indexed="64"/>
      </top>
      <bottom/>
      <diagonal/>
    </border>
    <border>
      <left style="thin">
        <color theme="0"/>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743">
    <xf numFmtId="0" fontId="0" fillId="0" borderId="0"/>
    <xf numFmtId="177" fontId="1" fillId="0" borderId="0" applyFont="0" applyFill="0" applyBorder="0" applyAlignment="0" applyProtection="0"/>
    <xf numFmtId="9" fontId="1" fillId="0" borderId="0" applyFont="0" applyFill="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21" borderId="0" applyNumberFormat="0" applyBorder="0" applyAlignment="0" applyProtection="0"/>
    <xf numFmtId="0" fontId="6" fillId="2" borderId="0" applyNumberFormat="0" applyBorder="0" applyAlignment="0" applyProtection="0"/>
    <xf numFmtId="0" fontId="7" fillId="5" borderId="0" applyNumberFormat="0" applyBorder="0" applyAlignment="0" applyProtection="0"/>
    <xf numFmtId="0" fontId="8" fillId="22" borderId="3" applyNumberFormat="0" applyAlignment="0" applyProtection="0"/>
    <xf numFmtId="0" fontId="9" fillId="23" borderId="4" applyNumberFormat="0" applyAlignment="0" applyProtection="0"/>
    <xf numFmtId="0" fontId="10" fillId="0" borderId="0" applyNumberFormat="0" applyFill="0" applyBorder="0" applyAlignment="0" applyProtection="0"/>
    <xf numFmtId="0" fontId="11" fillId="6" borderId="0" applyNumberFormat="0" applyBorder="0" applyAlignment="0" applyProtection="0"/>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9" borderId="3" applyNumberFormat="0" applyAlignment="0" applyProtection="0"/>
    <xf numFmtId="0" fontId="16" fillId="0" borderId="8" applyNumberFormat="0" applyFill="0" applyAlignment="0" applyProtection="0"/>
    <xf numFmtId="0" fontId="17" fillId="24" borderId="0" applyNumberFormat="0" applyBorder="0" applyAlignment="0" applyProtection="0"/>
    <xf numFmtId="0" fontId="1" fillId="0" borderId="0"/>
    <xf numFmtId="0" fontId="18" fillId="0" borderId="0"/>
    <xf numFmtId="0" fontId="18" fillId="0" borderId="0"/>
    <xf numFmtId="0" fontId="18" fillId="0" borderId="0"/>
    <xf numFmtId="0" fontId="19" fillId="0" borderId="0"/>
    <xf numFmtId="0" fontId="4" fillId="3" borderId="1" applyNumberFormat="0" applyFont="0" applyAlignment="0" applyProtection="0"/>
    <xf numFmtId="0" fontId="18" fillId="25" borderId="9" applyNumberFormat="0" applyFont="0" applyAlignment="0" applyProtection="0"/>
    <xf numFmtId="0" fontId="20" fillId="22" borderId="10" applyNumberFormat="0" applyAlignment="0" applyProtection="0"/>
    <xf numFmtId="9" fontId="18" fillId="0" borderId="0" applyFont="0" applyFill="0" applyBorder="0" applyAlignment="0" applyProtection="0"/>
    <xf numFmtId="0" fontId="21" fillId="0" borderId="0" applyNumberFormat="0" applyFill="0" applyBorder="0" applyAlignment="0" applyProtection="0"/>
    <xf numFmtId="0" fontId="22" fillId="0" borderId="11" applyNumberFormat="0" applyFill="0" applyAlignment="0" applyProtection="0"/>
    <xf numFmtId="0" fontId="23" fillId="0" borderId="0" applyNumberFormat="0" applyFill="0" applyBorder="0" applyAlignment="0" applyProtection="0"/>
    <xf numFmtId="0" fontId="18" fillId="0" borderId="0"/>
    <xf numFmtId="0" fontId="19" fillId="0" borderId="0"/>
    <xf numFmtId="0" fontId="19" fillId="0" borderId="0"/>
    <xf numFmtId="9" fontId="19" fillId="0" borderId="0" applyFont="0" applyFill="0" applyBorder="0" applyAlignment="0" applyProtection="0"/>
    <xf numFmtId="0" fontId="46" fillId="0" borderId="0" applyNumberFormat="0" applyFill="0" applyBorder="0" applyAlignment="0" applyProtection="0"/>
    <xf numFmtId="0" fontId="48" fillId="0" borderId="0">
      <alignment vertical="center"/>
    </xf>
    <xf numFmtId="0" fontId="50" fillId="0" borderId="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4" fillId="0" borderId="0" applyFon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4"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8" fillId="25" borderId="9" applyNumberFormat="0" applyFont="0" applyAlignment="0" applyProtection="0"/>
    <xf numFmtId="0" fontId="18" fillId="25" borderId="9"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0" fontId="59" fillId="0" borderId="0"/>
    <xf numFmtId="0" fontId="19" fillId="0" borderId="0"/>
    <xf numFmtId="9" fontId="19" fillId="0" borderId="0" applyFont="0" applyFill="0" applyBorder="0" applyAlignment="0" applyProtection="0"/>
  </cellStyleXfs>
  <cellXfs count="381">
    <xf numFmtId="0" fontId="0" fillId="0" borderId="0" xfId="0"/>
    <xf numFmtId="0" fontId="2" fillId="0" borderId="0" xfId="0" applyFont="1" applyBorder="1"/>
    <xf numFmtId="0" fontId="0" fillId="0" borderId="0" xfId="0" applyAlignment="1">
      <alignment horizontal="right"/>
    </xf>
    <xf numFmtId="0" fontId="0" fillId="0" borderId="0" xfId="0" applyBorder="1"/>
    <xf numFmtId="0" fontId="0" fillId="0" borderId="0" xfId="0" applyAlignment="1">
      <alignment horizontal="left"/>
    </xf>
    <xf numFmtId="11" fontId="0" fillId="0" borderId="0" xfId="0" applyNumberFormat="1" applyBorder="1" applyAlignment="1">
      <alignment horizontal="center"/>
    </xf>
    <xf numFmtId="0" fontId="2" fillId="0" borderId="0" xfId="0" applyFont="1" applyFill="1" applyBorder="1" applyAlignment="1">
      <alignment horizontal="center"/>
    </xf>
    <xf numFmtId="0" fontId="24" fillId="0" borderId="0" xfId="0" applyFont="1" applyAlignment="1" applyProtection="1">
      <alignment horizontal="left"/>
    </xf>
    <xf numFmtId="0" fontId="25" fillId="0" borderId="0" xfId="0" applyFont="1" applyAlignment="1" applyProtection="1"/>
    <xf numFmtId="0" fontId="26" fillId="0" borderId="0" xfId="0" applyFont="1" applyAlignment="1" applyProtection="1">
      <alignment horizontal="center"/>
    </xf>
    <xf numFmtId="0" fontId="27" fillId="0" borderId="0" xfId="0" applyFont="1" applyAlignment="1" applyProtection="1"/>
    <xf numFmtId="0" fontId="0" fillId="0" borderId="0" xfId="0" applyProtection="1"/>
    <xf numFmtId="0" fontId="28" fillId="0" borderId="0" xfId="0" applyFont="1" applyAlignment="1" applyProtection="1"/>
    <xf numFmtId="0" fontId="29" fillId="0" borderId="0" xfId="0" applyFont="1" applyAlignment="1" applyProtection="1"/>
    <xf numFmtId="0" fontId="30" fillId="0" borderId="0" xfId="0" applyFont="1" applyAlignment="1" applyProtection="1">
      <alignment horizontal="left"/>
    </xf>
    <xf numFmtId="0" fontId="31" fillId="0" borderId="0" xfId="0" applyFont="1" applyAlignment="1" applyProtection="1"/>
    <xf numFmtId="0" fontId="31" fillId="0" borderId="0" xfId="0" applyFont="1" applyAlignment="1" applyProtection="1">
      <alignment horizontal="right" vertical="center"/>
    </xf>
    <xf numFmtId="0" fontId="32" fillId="0" borderId="0" xfId="40" applyFont="1" applyAlignment="1" applyProtection="1">
      <alignment horizontal="left"/>
    </xf>
    <xf numFmtId="0" fontId="18" fillId="0" borderId="0" xfId="40" applyFont="1" applyAlignment="1" applyProtection="1"/>
    <xf numFmtId="0" fontId="26" fillId="0" borderId="12" xfId="0" applyFont="1" applyBorder="1" applyAlignment="1" applyProtection="1">
      <alignment horizontal="center"/>
    </xf>
    <xf numFmtId="15" fontId="31" fillId="0" borderId="12" xfId="40" applyNumberFormat="1" applyFont="1" applyBorder="1" applyAlignment="1" applyProtection="1">
      <alignment wrapText="1"/>
    </xf>
    <xf numFmtId="15" fontId="31" fillId="0" borderId="12" xfId="40" applyNumberFormat="1" applyFont="1" applyBorder="1" applyAlignment="1" applyProtection="1">
      <alignment horizontal="right" vertical="center" wrapText="1"/>
    </xf>
    <xf numFmtId="0" fontId="30" fillId="0" borderId="0" xfId="40" applyFont="1" applyAlignment="1" applyProtection="1">
      <alignment horizontal="left"/>
    </xf>
    <xf numFmtId="0" fontId="33" fillId="26" borderId="13" xfId="40" applyFont="1" applyFill="1" applyBorder="1" applyAlignment="1" applyProtection="1">
      <alignment horizontal="left"/>
    </xf>
    <xf numFmtId="0" fontId="34" fillId="26" borderId="14" xfId="40" applyFont="1" applyFill="1" applyBorder="1" applyAlignment="1" applyProtection="1">
      <alignment horizontal="left"/>
    </xf>
    <xf numFmtId="0" fontId="35" fillId="26" borderId="14" xfId="40" applyFont="1" applyFill="1" applyBorder="1" applyAlignment="1" applyProtection="1">
      <alignment horizontal="left"/>
    </xf>
    <xf numFmtId="0" fontId="28" fillId="26" borderId="14" xfId="40" applyFont="1" applyFill="1" applyBorder="1" applyAlignment="1" applyProtection="1">
      <alignment horizontal="left"/>
    </xf>
    <xf numFmtId="0" fontId="35" fillId="26" borderId="14" xfId="40" applyFont="1" applyFill="1" applyBorder="1" applyAlignment="1" applyProtection="1">
      <alignment horizontal="right"/>
    </xf>
    <xf numFmtId="0" fontId="33" fillId="26" borderId="15" xfId="40" applyFont="1" applyFill="1" applyBorder="1" applyAlignment="1" applyProtection="1">
      <alignment horizontal="left"/>
    </xf>
    <xf numFmtId="0" fontId="36" fillId="26" borderId="0" xfId="40" applyFont="1" applyFill="1" applyBorder="1" applyAlignment="1" applyProtection="1">
      <alignment horizontal="center"/>
    </xf>
    <xf numFmtId="0" fontId="35" fillId="26" borderId="0" xfId="40" applyFont="1" applyFill="1" applyBorder="1" applyAlignment="1" applyProtection="1">
      <alignment horizontal="left"/>
    </xf>
    <xf numFmtId="0" fontId="28" fillId="26" borderId="0" xfId="40" applyFont="1" applyFill="1" applyBorder="1" applyAlignment="1" applyProtection="1">
      <alignment horizontal="left"/>
    </xf>
    <xf numFmtId="0" fontId="28" fillId="26" borderId="16" xfId="40" applyFont="1" applyFill="1" applyBorder="1" applyAlignment="1" applyProtection="1">
      <alignment horizontal="left"/>
    </xf>
    <xf numFmtId="0" fontId="36" fillId="26" borderId="0" xfId="40" applyFont="1" applyFill="1" applyBorder="1" applyAlignment="1" applyProtection="1">
      <alignment horizontal="left"/>
    </xf>
    <xf numFmtId="0" fontId="35" fillId="26" borderId="0" xfId="40" applyFont="1" applyFill="1" applyBorder="1" applyAlignment="1" applyProtection="1">
      <alignment horizontal="right"/>
    </xf>
    <xf numFmtId="0" fontId="38" fillId="26" borderId="0" xfId="40" applyFont="1" applyFill="1" applyBorder="1" applyAlignment="1" applyProtection="1">
      <alignment horizontal="right"/>
    </xf>
    <xf numFmtId="0" fontId="0" fillId="28" borderId="0" xfId="0" applyFill="1" applyProtection="1"/>
    <xf numFmtId="0" fontId="37" fillId="26" borderId="0" xfId="40" applyFont="1" applyFill="1" applyBorder="1" applyAlignment="1" applyProtection="1">
      <alignment horizontal="left"/>
    </xf>
    <xf numFmtId="0" fontId="33" fillId="26" borderId="0" xfId="40" applyFont="1" applyFill="1" applyBorder="1" applyAlignment="1" applyProtection="1">
      <alignment horizontal="left"/>
    </xf>
    <xf numFmtId="0" fontId="33" fillId="26" borderId="17" xfId="40" applyFont="1" applyFill="1" applyBorder="1" applyAlignment="1" applyProtection="1">
      <alignment horizontal="left"/>
    </xf>
    <xf numFmtId="0" fontId="36" fillId="26" borderId="12" xfId="40" applyFont="1" applyFill="1" applyBorder="1" applyAlignment="1" applyProtection="1">
      <alignment horizontal="center"/>
    </xf>
    <xf numFmtId="0" fontId="35" fillId="26" borderId="12" xfId="40" applyFont="1" applyFill="1" applyBorder="1" applyAlignment="1" applyProtection="1">
      <alignment horizontal="left"/>
    </xf>
    <xf numFmtId="0" fontId="28" fillId="26" borderId="12" xfId="40" applyFont="1" applyFill="1" applyBorder="1" applyAlignment="1" applyProtection="1">
      <alignment horizontal="left"/>
    </xf>
    <xf numFmtId="0" fontId="28" fillId="26" borderId="18" xfId="40" applyFont="1" applyFill="1" applyBorder="1" applyAlignment="1" applyProtection="1">
      <alignment horizontal="left"/>
    </xf>
    <xf numFmtId="0" fontId="29" fillId="28" borderId="0" xfId="0" applyFont="1" applyFill="1" applyProtection="1"/>
    <xf numFmtId="0" fontId="32" fillId="28" borderId="0" xfId="40" applyFont="1" applyFill="1" applyAlignment="1" applyProtection="1">
      <alignment horizontal="left"/>
    </xf>
    <xf numFmtId="0" fontId="18" fillId="28" borderId="0" xfId="40" applyFont="1" applyFill="1" applyAlignment="1" applyProtection="1">
      <alignment horizontal="center"/>
    </xf>
    <xf numFmtId="0" fontId="18" fillId="28" borderId="0" xfId="40" applyFont="1" applyFill="1" applyBorder="1" applyAlignment="1" applyProtection="1">
      <alignment horizontal="center"/>
    </xf>
    <xf numFmtId="0" fontId="18" fillId="28" borderId="0" xfId="40" applyFont="1" applyFill="1" applyBorder="1" applyAlignment="1" applyProtection="1">
      <alignment horizontal="left"/>
    </xf>
    <xf numFmtId="0" fontId="34" fillId="26" borderId="19" xfId="40" applyFont="1" applyFill="1" applyBorder="1" applyAlignment="1" applyProtection="1">
      <alignment horizontal="left"/>
    </xf>
    <xf numFmtId="0" fontId="35" fillId="26" borderId="20" xfId="40" applyFont="1" applyFill="1" applyBorder="1" applyAlignment="1" applyProtection="1">
      <alignment horizontal="left"/>
    </xf>
    <xf numFmtId="0" fontId="28" fillId="26" borderId="21" xfId="40" applyFont="1" applyFill="1" applyBorder="1" applyAlignment="1" applyProtection="1">
      <alignment horizontal="left"/>
    </xf>
    <xf numFmtId="3" fontId="28" fillId="27" borderId="2" xfId="40" applyNumberFormat="1" applyFont="1" applyFill="1" applyBorder="1" applyAlignment="1" applyProtection="1">
      <alignment horizontal="center"/>
      <protection locked="0"/>
    </xf>
    <xf numFmtId="0" fontId="39" fillId="28" borderId="0" xfId="0" applyFont="1" applyFill="1" applyProtection="1"/>
    <xf numFmtId="0" fontId="40" fillId="26" borderId="0" xfId="40" applyFont="1" applyFill="1" applyBorder="1" applyAlignment="1" applyProtection="1">
      <alignment horizontal="left"/>
    </xf>
    <xf numFmtId="0" fontId="28" fillId="26" borderId="0" xfId="40" applyFont="1" applyFill="1" applyBorder="1" applyAlignment="1" applyProtection="1">
      <alignment horizontal="center"/>
    </xf>
    <xf numFmtId="0" fontId="29" fillId="28" borderId="0" xfId="0" applyFont="1" applyFill="1" applyBorder="1" applyProtection="1"/>
    <xf numFmtId="0" fontId="29" fillId="28" borderId="15" xfId="0" applyFont="1" applyFill="1" applyBorder="1" applyProtection="1"/>
    <xf numFmtId="0" fontId="28" fillId="26" borderId="16" xfId="40" applyFont="1" applyFill="1" applyBorder="1" applyAlignment="1" applyProtection="1">
      <alignment horizontal="right"/>
    </xf>
    <xf numFmtId="0" fontId="0" fillId="0" borderId="0" xfId="0" applyBorder="1" applyProtection="1"/>
    <xf numFmtId="0" fontId="38" fillId="26" borderId="15" xfId="40" applyFont="1" applyFill="1" applyBorder="1" applyAlignment="1" applyProtection="1">
      <alignment horizontal="left"/>
    </xf>
    <xf numFmtId="0" fontId="37" fillId="26" borderId="16" xfId="40" applyFont="1" applyFill="1" applyBorder="1" applyAlignment="1" applyProtection="1">
      <alignment horizontal="right"/>
    </xf>
    <xf numFmtId="0" fontId="37" fillId="0" borderId="0" xfId="0" applyFont="1" applyBorder="1" applyProtection="1"/>
    <xf numFmtId="0" fontId="37" fillId="0" borderId="0" xfId="0" applyFont="1" applyProtection="1"/>
    <xf numFmtId="0" fontId="37" fillId="0" borderId="0" xfId="0" applyFont="1" applyAlignment="1" applyProtection="1"/>
    <xf numFmtId="0" fontId="43" fillId="0" borderId="23" xfId="0" applyFont="1" applyFill="1" applyBorder="1" applyAlignment="1" applyProtection="1">
      <alignment horizontal="center" vertical="center" wrapText="1"/>
      <protection hidden="1"/>
    </xf>
    <xf numFmtId="1" fontId="18" fillId="0" borderId="22" xfId="40" applyNumberFormat="1" applyFont="1" applyFill="1" applyBorder="1" applyAlignment="1" applyProtection="1">
      <alignment horizontal="center"/>
      <protection hidden="1"/>
    </xf>
    <xf numFmtId="178" fontId="18" fillId="0" borderId="22" xfId="40" applyNumberFormat="1" applyFont="1" applyFill="1" applyBorder="1" applyAlignment="1" applyProtection="1">
      <alignment horizontal="center"/>
      <protection hidden="1"/>
    </xf>
    <xf numFmtId="0" fontId="44" fillId="26" borderId="15" xfId="40" applyFont="1" applyFill="1" applyBorder="1" applyAlignment="1" applyProtection="1">
      <alignment horizontal="left"/>
    </xf>
    <xf numFmtId="0" fontId="45" fillId="26" borderId="16" xfId="40" applyFont="1" applyFill="1" applyBorder="1" applyAlignment="1" applyProtection="1">
      <alignment horizontal="right"/>
    </xf>
    <xf numFmtId="0" fontId="45" fillId="0" borderId="0" xfId="0" applyFont="1" applyBorder="1" applyProtection="1"/>
    <xf numFmtId="0" fontId="45" fillId="0" borderId="0" xfId="0" applyFont="1" applyProtection="1"/>
    <xf numFmtId="0" fontId="45" fillId="0" borderId="0" xfId="0" applyFont="1" applyAlignment="1" applyProtection="1"/>
    <xf numFmtId="0" fontId="32" fillId="0" borderId="0" xfId="40" applyFont="1" applyFill="1" applyAlignment="1" applyProtection="1">
      <alignment horizontal="left"/>
    </xf>
    <xf numFmtId="0" fontId="0" fillId="0" borderId="0" xfId="0" applyFill="1" applyBorder="1" applyProtection="1"/>
    <xf numFmtId="0" fontId="0" fillId="0" borderId="0" xfId="0" applyFill="1" applyProtection="1"/>
    <xf numFmtId="0" fontId="28" fillId="0" borderId="0" xfId="0" applyFont="1" applyFill="1" applyAlignment="1" applyProtection="1"/>
    <xf numFmtId="0" fontId="29" fillId="0" borderId="0" xfId="0" applyFont="1" applyFill="1" applyAlignment="1" applyProtection="1"/>
    <xf numFmtId="0" fontId="43" fillId="30" borderId="23" xfId="0" applyFont="1" applyFill="1" applyBorder="1" applyAlignment="1" applyProtection="1">
      <alignment horizontal="center" vertical="center" wrapText="1"/>
      <protection hidden="1"/>
    </xf>
    <xf numFmtId="1" fontId="18" fillId="30" borderId="22" xfId="40" applyNumberFormat="1" applyFont="1" applyFill="1" applyBorder="1" applyAlignment="1" applyProtection="1">
      <alignment horizontal="center"/>
      <protection hidden="1"/>
    </xf>
    <xf numFmtId="178" fontId="18" fillId="30" borderId="22" xfId="40" applyNumberFormat="1" applyFont="1" applyFill="1" applyBorder="1" applyAlignment="1" applyProtection="1">
      <alignment horizontal="center"/>
      <protection hidden="1"/>
    </xf>
    <xf numFmtId="0" fontId="2" fillId="0" borderId="0" xfId="0" applyFont="1" applyBorder="1" applyAlignment="1">
      <alignment horizontal="center"/>
    </xf>
    <xf numFmtId="1" fontId="0" fillId="0" borderId="0" xfId="0" applyNumberFormat="1" applyBorder="1" applyAlignment="1">
      <alignment horizontal="center"/>
    </xf>
    <xf numFmtId="0" fontId="0" fillId="0" borderId="0" xfId="0" applyBorder="1" applyAlignment="1">
      <alignment horizontal="center"/>
    </xf>
    <xf numFmtId="0" fontId="2" fillId="0" borderId="0" xfId="0" applyFont="1"/>
    <xf numFmtId="0" fontId="0" fillId="0" borderId="26" xfId="0" applyBorder="1"/>
    <xf numFmtId="0" fontId="0" fillId="0" borderId="27" xfId="0" applyBorder="1"/>
    <xf numFmtId="0" fontId="0" fillId="0" borderId="26" xfId="0" applyBorder="1" applyAlignment="1">
      <alignment horizontal="center"/>
    </xf>
    <xf numFmtId="0" fontId="0" fillId="0" borderId="27" xfId="0" applyBorder="1" applyAlignment="1">
      <alignment horizontal="center"/>
    </xf>
    <xf numFmtId="181" fontId="3" fillId="0" borderId="0" xfId="0" applyNumberFormat="1"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1" fontId="0" fillId="0" borderId="0" xfId="0" applyNumberFormat="1" applyFont="1" applyBorder="1" applyAlignment="1" applyProtection="1">
      <alignment horizontal="center"/>
      <protection locked="0"/>
    </xf>
    <xf numFmtId="0" fontId="3" fillId="0" borderId="0" xfId="0" applyNumberFormat="1" applyFont="1" applyFill="1" applyBorder="1" applyAlignment="1" applyProtection="1">
      <alignment horizontal="center"/>
      <protection locked="0"/>
    </xf>
    <xf numFmtId="0" fontId="0" fillId="0" borderId="26" xfId="0" applyFont="1" applyBorder="1" applyAlignment="1">
      <alignment horizontal="center"/>
    </xf>
    <xf numFmtId="0" fontId="0" fillId="0" borderId="0" xfId="0" applyFont="1" applyBorder="1" applyAlignment="1">
      <alignment horizontal="center"/>
    </xf>
    <xf numFmtId="0" fontId="0" fillId="0" borderId="27" xfId="0" applyFont="1" applyBorder="1" applyAlignment="1">
      <alignment horizontal="center"/>
    </xf>
    <xf numFmtId="0" fontId="0" fillId="0" borderId="32" xfId="0" applyFont="1" applyBorder="1" applyAlignment="1">
      <alignment horizontal="center"/>
    </xf>
    <xf numFmtId="0" fontId="0" fillId="0" borderId="33" xfId="0" applyFont="1" applyBorder="1" applyAlignment="1">
      <alignment horizontal="center"/>
    </xf>
    <xf numFmtId="0" fontId="0" fillId="0" borderId="34" xfId="0" applyFont="1" applyBorder="1" applyAlignment="1">
      <alignment horizontal="center"/>
    </xf>
    <xf numFmtId="0" fontId="0" fillId="0" borderId="31" xfId="0" applyFont="1" applyBorder="1" applyAlignment="1">
      <alignment horizontal="center"/>
    </xf>
    <xf numFmtId="0" fontId="0" fillId="32" borderId="31" xfId="0" applyFont="1" applyFill="1" applyBorder="1" applyAlignment="1">
      <alignment horizontal="center"/>
    </xf>
    <xf numFmtId="0" fontId="3" fillId="32" borderId="31" xfId="0" applyFont="1" applyFill="1" applyBorder="1" applyAlignment="1">
      <alignment horizontal="center"/>
    </xf>
    <xf numFmtId="1" fontId="0" fillId="0" borderId="0" xfId="0" applyNumberFormat="1" applyFont="1" applyBorder="1" applyAlignment="1">
      <alignment horizontal="center"/>
    </xf>
    <xf numFmtId="11" fontId="0" fillId="0" borderId="0" xfId="0" applyNumberFormat="1" applyFont="1" applyBorder="1" applyAlignment="1">
      <alignment horizontal="center"/>
    </xf>
    <xf numFmtId="0" fontId="0" fillId="0" borderId="26" xfId="0" applyFont="1" applyBorder="1" applyAlignment="1" applyProtection="1">
      <alignment horizontal="center"/>
      <protection locked="0"/>
    </xf>
    <xf numFmtId="0" fontId="0" fillId="0" borderId="30" xfId="0" applyBorder="1"/>
    <xf numFmtId="0" fontId="47" fillId="31" borderId="37" xfId="0" applyFont="1" applyFill="1" applyBorder="1" applyAlignment="1" applyProtection="1">
      <alignment horizontal="left"/>
      <protection locked="0"/>
    </xf>
    <xf numFmtId="2" fontId="18" fillId="0" borderId="22" xfId="40" applyNumberFormat="1" applyFont="1" applyFill="1" applyBorder="1" applyAlignment="1" applyProtection="1">
      <alignment horizontal="center"/>
      <protection hidden="1"/>
    </xf>
    <xf numFmtId="2" fontId="18" fillId="30" borderId="22" xfId="40" applyNumberFormat="1" applyFont="1" applyFill="1" applyBorder="1" applyAlignment="1" applyProtection="1">
      <alignment horizontal="center"/>
      <protection hidden="1"/>
    </xf>
    <xf numFmtId="0" fontId="0" fillId="0" borderId="39" xfId="0" applyFont="1" applyBorder="1" applyAlignment="1">
      <alignment horizontal="center"/>
    </xf>
    <xf numFmtId="0" fontId="47" fillId="31" borderId="32" xfId="0" applyFont="1" applyFill="1" applyBorder="1" applyAlignment="1">
      <alignment horizontal="center"/>
    </xf>
    <xf numFmtId="0" fontId="3" fillId="0" borderId="0" xfId="0" quotePrefix="1" applyNumberFormat="1" applyFont="1" applyFill="1" applyBorder="1" applyAlignment="1" applyProtection="1">
      <alignment horizontal="center"/>
      <protection locked="0"/>
    </xf>
    <xf numFmtId="3" fontId="0" fillId="0" borderId="0" xfId="0" applyNumberFormat="1"/>
    <xf numFmtId="0" fontId="0" fillId="0" borderId="28" xfId="0" applyBorder="1" applyAlignment="1">
      <alignment horizontal="center"/>
    </xf>
    <xf numFmtId="1" fontId="0" fillId="0" borderId="27" xfId="0" applyNumberForma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30" xfId="0" applyFont="1" applyBorder="1" applyAlignment="1">
      <alignment horizontal="center"/>
    </xf>
    <xf numFmtId="0" fontId="2" fillId="0" borderId="36" xfId="0" applyFont="1" applyBorder="1" applyAlignment="1">
      <alignment horizontal="center"/>
    </xf>
    <xf numFmtId="0" fontId="2" fillId="0" borderId="37" xfId="0" applyFont="1" applyBorder="1" applyAlignment="1">
      <alignment horizontal="center"/>
    </xf>
    <xf numFmtId="0" fontId="2" fillId="0" borderId="38" xfId="0" applyFont="1" applyBorder="1" applyAlignment="1">
      <alignment horizontal="center"/>
    </xf>
    <xf numFmtId="11" fontId="0" fillId="0" borderId="29" xfId="0" applyNumberFormat="1" applyBorder="1" applyAlignment="1">
      <alignment horizontal="center"/>
    </xf>
    <xf numFmtId="0" fontId="2" fillId="0" borderId="36" xfId="0" applyFont="1" applyFill="1" applyBorder="1" applyAlignment="1">
      <alignment horizontal="center"/>
    </xf>
    <xf numFmtId="0" fontId="2" fillId="0" borderId="38" xfId="0" applyFont="1" applyFill="1" applyBorder="1" applyAlignment="1">
      <alignment horizontal="center"/>
    </xf>
    <xf numFmtId="0" fontId="2" fillId="0" borderId="25" xfId="0" applyFont="1" applyFill="1" applyBorder="1" applyAlignment="1">
      <alignment horizontal="center"/>
    </xf>
    <xf numFmtId="0" fontId="0" fillId="0" borderId="40" xfId="0" applyBorder="1" applyAlignment="1">
      <alignment horizontal="center"/>
    </xf>
    <xf numFmtId="1" fontId="0" fillId="0" borderId="40" xfId="0" applyNumberFormat="1" applyBorder="1" applyAlignment="1">
      <alignment horizontal="center"/>
    </xf>
    <xf numFmtId="180" fontId="0" fillId="0" borderId="27" xfId="0" applyNumberFormat="1" applyBorder="1" applyAlignment="1">
      <alignment horizontal="center"/>
    </xf>
    <xf numFmtId="0" fontId="46" fillId="0" borderId="38" xfId="56" applyBorder="1" applyAlignment="1">
      <alignment horizontal="center"/>
    </xf>
    <xf numFmtId="2" fontId="0" fillId="0" borderId="26" xfId="0" applyNumberFormat="1" applyBorder="1" applyAlignment="1">
      <alignment horizontal="center"/>
    </xf>
    <xf numFmtId="0" fontId="0" fillId="0" borderId="35" xfId="0" applyBorder="1" applyAlignment="1">
      <alignment horizontal="center"/>
    </xf>
    <xf numFmtId="1" fontId="18" fillId="0" borderId="24" xfId="40" applyNumberFormat="1" applyFont="1" applyFill="1" applyBorder="1" applyAlignment="1" applyProtection="1">
      <alignment horizontal="center"/>
      <protection hidden="1"/>
    </xf>
    <xf numFmtId="179" fontId="0" fillId="0" borderId="27" xfId="0" applyNumberFormat="1" applyBorder="1" applyAlignment="1">
      <alignment horizontal="center"/>
    </xf>
    <xf numFmtId="0" fontId="2" fillId="0" borderId="25" xfId="0" applyFont="1" applyBorder="1" applyAlignment="1">
      <alignment horizontal="center"/>
    </xf>
    <xf numFmtId="180" fontId="0" fillId="0" borderId="40" xfId="0" applyNumberFormat="1" applyBorder="1" applyAlignment="1">
      <alignment horizontal="center"/>
    </xf>
    <xf numFmtId="2" fontId="2" fillId="0" borderId="40" xfId="0" applyNumberFormat="1" applyFont="1" applyFill="1" applyBorder="1" applyAlignment="1">
      <alignment horizontal="center"/>
    </xf>
    <xf numFmtId="1" fontId="0" fillId="0" borderId="26" xfId="0" applyNumberFormat="1" applyBorder="1" applyAlignment="1">
      <alignment horizontal="center"/>
    </xf>
    <xf numFmtId="0" fontId="46" fillId="0" borderId="36" xfId="56" applyBorder="1" applyAlignment="1">
      <alignment horizontal="center"/>
    </xf>
    <xf numFmtId="11" fontId="0" fillId="0" borderId="28" xfId="0" applyNumberFormat="1" applyBorder="1" applyAlignment="1">
      <alignment horizontal="center"/>
    </xf>
    <xf numFmtId="11" fontId="0" fillId="0" borderId="26" xfId="0" applyNumberFormat="1" applyBorder="1" applyAlignment="1">
      <alignment horizontal="center"/>
    </xf>
    <xf numFmtId="9" fontId="0" fillId="0" borderId="40" xfId="2" applyFont="1" applyBorder="1" applyAlignment="1">
      <alignment horizontal="center"/>
    </xf>
    <xf numFmtId="0" fontId="2" fillId="0" borderId="36" xfId="0" applyFont="1" applyBorder="1"/>
    <xf numFmtId="0" fontId="2" fillId="0" borderId="37" xfId="0" applyFont="1" applyBorder="1"/>
    <xf numFmtId="180" fontId="0" fillId="0" borderId="30" xfId="0" applyNumberFormat="1" applyBorder="1" applyAlignment="1">
      <alignment horizontal="center"/>
    </xf>
    <xf numFmtId="0" fontId="0" fillId="0" borderId="32" xfId="0" applyFont="1" applyBorder="1" applyAlignment="1" applyProtection="1">
      <alignment horizontal="center"/>
      <protection locked="0"/>
    </xf>
    <xf numFmtId="0" fontId="0" fillId="0" borderId="0" xfId="0" applyBorder="1" applyAlignment="1">
      <alignment horizontal="center"/>
    </xf>
    <xf numFmtId="0" fontId="47" fillId="31" borderId="0" xfId="0" applyFont="1" applyFill="1" applyBorder="1" applyAlignment="1" applyProtection="1">
      <alignment horizontal="left"/>
      <protection locked="0"/>
    </xf>
    <xf numFmtId="0" fontId="0" fillId="0" borderId="0" xfId="0" applyNumberFormat="1" applyFont="1" applyBorder="1" applyAlignment="1">
      <alignment horizontal="center"/>
    </xf>
    <xf numFmtId="0" fontId="0" fillId="0" borderId="33" xfId="0" applyNumberFormat="1" applyFont="1" applyBorder="1" applyAlignment="1">
      <alignment horizontal="center"/>
    </xf>
    <xf numFmtId="11" fontId="3" fillId="0" borderId="0" xfId="0" applyNumberFormat="1" applyFont="1" applyFill="1" applyBorder="1" applyAlignment="1" applyProtection="1">
      <alignment horizontal="center"/>
      <protection locked="0"/>
    </xf>
    <xf numFmtId="0" fontId="49" fillId="0" borderId="0" xfId="0" applyFont="1" applyBorder="1" applyAlignment="1">
      <alignment horizontal="center"/>
    </xf>
    <xf numFmtId="1" fontId="0" fillId="0" borderId="33" xfId="0" applyNumberFormat="1" applyFont="1" applyBorder="1" applyAlignment="1">
      <alignment horizontal="center"/>
    </xf>
    <xf numFmtId="0" fontId="3" fillId="0" borderId="33" xfId="0" quotePrefix="1" applyNumberFormat="1" applyFont="1" applyFill="1" applyBorder="1" applyAlignment="1" applyProtection="1">
      <alignment horizontal="center"/>
      <protection locked="0"/>
    </xf>
    <xf numFmtId="11" fontId="0" fillId="0" borderId="26" xfId="0" applyNumberFormat="1" applyFont="1" applyBorder="1" applyAlignment="1">
      <alignment horizontal="center"/>
    </xf>
    <xf numFmtId="11" fontId="0" fillId="0" borderId="27" xfId="0" applyNumberFormat="1" applyFont="1" applyBorder="1" applyAlignment="1">
      <alignment horizontal="center"/>
    </xf>
    <xf numFmtId="11" fontId="0" fillId="0" borderId="32" xfId="0" applyNumberFormat="1" applyFont="1" applyBorder="1" applyAlignment="1">
      <alignment horizontal="center"/>
    </xf>
    <xf numFmtId="11" fontId="0" fillId="0" borderId="33" xfId="0" applyNumberFormat="1" applyFont="1" applyBorder="1" applyAlignment="1">
      <alignment horizontal="center"/>
    </xf>
    <xf numFmtId="11" fontId="0" fillId="0" borderId="34" xfId="0" applyNumberFormat="1" applyFont="1" applyBorder="1" applyAlignment="1">
      <alignment horizontal="center"/>
    </xf>
    <xf numFmtId="181" fontId="3" fillId="0" borderId="26" xfId="0" applyNumberFormat="1" applyFont="1" applyFill="1" applyBorder="1" applyAlignment="1" applyProtection="1">
      <alignment horizontal="center"/>
      <protection locked="0"/>
    </xf>
    <xf numFmtId="0" fontId="3" fillId="0" borderId="27" xfId="0" applyFont="1" applyFill="1" applyBorder="1" applyAlignment="1" applyProtection="1">
      <alignment horizontal="center"/>
      <protection locked="0"/>
    </xf>
    <xf numFmtId="181" fontId="3" fillId="0" borderId="32" xfId="0" applyNumberFormat="1" applyFont="1" applyFill="1" applyBorder="1" applyAlignment="1" applyProtection="1">
      <alignment horizontal="center"/>
      <protection locked="0"/>
    </xf>
    <xf numFmtId="181" fontId="3" fillId="0" borderId="33" xfId="0" applyNumberFormat="1" applyFont="1" applyFill="1" applyBorder="1" applyAlignment="1" applyProtection="1">
      <alignment horizontal="center"/>
      <protection locked="0"/>
    </xf>
    <xf numFmtId="0" fontId="3" fillId="0" borderId="33" xfId="0" applyFont="1" applyFill="1" applyBorder="1" applyAlignment="1" applyProtection="1">
      <alignment horizontal="center"/>
      <protection locked="0"/>
    </xf>
    <xf numFmtId="0" fontId="3" fillId="0" borderId="34" xfId="0" applyFont="1" applyFill="1" applyBorder="1" applyAlignment="1" applyProtection="1">
      <alignment horizontal="center"/>
      <protection locked="0"/>
    </xf>
    <xf numFmtId="11" fontId="0" fillId="0" borderId="26" xfId="0" applyNumberFormat="1" applyFont="1" applyBorder="1" applyAlignment="1" applyProtection="1">
      <alignment horizontal="center"/>
      <protection locked="0"/>
    </xf>
    <xf numFmtId="0" fontId="3" fillId="0" borderId="27" xfId="0" applyNumberFormat="1" applyFont="1" applyFill="1" applyBorder="1" applyAlignment="1" applyProtection="1">
      <alignment horizontal="center"/>
      <protection locked="0"/>
    </xf>
    <xf numFmtId="11" fontId="0" fillId="0" borderId="32" xfId="0" applyNumberFormat="1" applyFont="1" applyBorder="1" applyAlignment="1" applyProtection="1">
      <alignment horizontal="center"/>
      <protection locked="0"/>
    </xf>
    <xf numFmtId="11" fontId="0" fillId="0" borderId="33" xfId="0" applyNumberFormat="1" applyFont="1" applyBorder="1" applyAlignment="1" applyProtection="1">
      <alignment horizontal="center"/>
      <protection locked="0"/>
    </xf>
    <xf numFmtId="0" fontId="3" fillId="0" borderId="33" xfId="0" applyNumberFormat="1" applyFont="1" applyFill="1" applyBorder="1" applyAlignment="1" applyProtection="1">
      <alignment horizontal="center"/>
      <protection locked="0"/>
    </xf>
    <xf numFmtId="0" fontId="3" fillId="0" borderId="34" xfId="0" applyNumberFormat="1" applyFont="1" applyFill="1" applyBorder="1" applyAlignment="1" applyProtection="1">
      <alignment horizontal="center"/>
      <protection locked="0"/>
    </xf>
    <xf numFmtId="11" fontId="0" fillId="0" borderId="27" xfId="0" applyNumberFormat="1" applyFont="1" applyBorder="1" applyAlignment="1" applyProtection="1">
      <alignment horizontal="center"/>
      <protection locked="0"/>
    </xf>
    <xf numFmtId="11" fontId="0" fillId="0" borderId="34" xfId="0" applyNumberFormat="1" applyFont="1" applyBorder="1" applyAlignment="1" applyProtection="1">
      <alignment horizontal="center"/>
      <protection locked="0"/>
    </xf>
    <xf numFmtId="1" fontId="18" fillId="0" borderId="0" xfId="40" applyNumberFormat="1" applyFont="1" applyFill="1" applyBorder="1" applyAlignment="1" applyProtection="1">
      <alignment horizontal="center"/>
      <protection hidden="1"/>
    </xf>
    <xf numFmtId="2" fontId="18" fillId="0" borderId="0" xfId="40" applyNumberFormat="1" applyFont="1" applyFill="1" applyBorder="1" applyAlignment="1" applyProtection="1">
      <alignment horizontal="center"/>
      <protection hidden="1"/>
    </xf>
    <xf numFmtId="178" fontId="18" fillId="0" borderId="0" xfId="40" applyNumberFormat="1" applyFont="1" applyFill="1" applyBorder="1" applyAlignment="1" applyProtection="1">
      <alignment horizontal="center"/>
      <protection hidden="1"/>
    </xf>
    <xf numFmtId="1" fontId="18" fillId="30" borderId="0" xfId="40" applyNumberFormat="1" applyFont="1" applyFill="1" applyBorder="1" applyAlignment="1" applyProtection="1">
      <alignment horizontal="center"/>
      <protection hidden="1"/>
    </xf>
    <xf numFmtId="2" fontId="18" fillId="30" borderId="0" xfId="40" applyNumberFormat="1" applyFont="1" applyFill="1" applyBorder="1" applyAlignment="1" applyProtection="1">
      <alignment horizontal="center"/>
      <protection hidden="1"/>
    </xf>
    <xf numFmtId="178" fontId="18" fillId="30" borderId="0" xfId="40" applyNumberFormat="1" applyFont="1" applyFill="1" applyBorder="1" applyAlignment="1" applyProtection="1">
      <alignment horizontal="center"/>
      <protection hidden="1"/>
    </xf>
    <xf numFmtId="0" fontId="18" fillId="29" borderId="44" xfId="40" applyFont="1" applyFill="1" applyBorder="1" applyAlignment="1" applyProtection="1">
      <alignment horizontal="center" vertical="center" wrapText="1"/>
      <protection hidden="1"/>
    </xf>
    <xf numFmtId="0" fontId="18" fillId="29" borderId="45" xfId="40" applyFont="1" applyFill="1" applyBorder="1" applyAlignment="1" applyProtection="1">
      <alignment horizontal="center" vertical="center" wrapText="1"/>
      <protection hidden="1"/>
    </xf>
    <xf numFmtId="0" fontId="18" fillId="29" borderId="46" xfId="40" applyFont="1" applyFill="1" applyBorder="1" applyAlignment="1" applyProtection="1">
      <alignment horizontal="center" vertical="center" wrapText="1"/>
      <protection hidden="1"/>
    </xf>
    <xf numFmtId="0" fontId="43" fillId="0" borderId="15" xfId="0" applyFont="1" applyFill="1" applyBorder="1" applyAlignment="1" applyProtection="1">
      <alignment horizontal="center" vertical="center" wrapText="1"/>
      <protection hidden="1"/>
    </xf>
    <xf numFmtId="1" fontId="18" fillId="0" borderId="16" xfId="40" applyNumberFormat="1" applyFont="1" applyFill="1" applyBorder="1" applyAlignment="1" applyProtection="1">
      <alignment horizontal="center"/>
      <protection hidden="1"/>
    </xf>
    <xf numFmtId="0" fontId="43" fillId="30" borderId="15" xfId="0" applyFont="1" applyFill="1" applyBorder="1" applyAlignment="1" applyProtection="1">
      <alignment horizontal="center" vertical="center" wrapText="1"/>
      <protection hidden="1"/>
    </xf>
    <xf numFmtId="1" fontId="18" fillId="30" borderId="16" xfId="40" applyNumberFormat="1" applyFont="1" applyFill="1" applyBorder="1" applyAlignment="1" applyProtection="1">
      <alignment horizontal="center"/>
      <protection hidden="1"/>
    </xf>
    <xf numFmtId="0" fontId="43" fillId="30" borderId="41" xfId="0" applyFont="1" applyFill="1" applyBorder="1" applyAlignment="1" applyProtection="1">
      <alignment horizontal="center" vertical="center" wrapText="1"/>
      <protection hidden="1"/>
    </xf>
    <xf numFmtId="1" fontId="18" fillId="30" borderId="42" xfId="40" applyNumberFormat="1" applyFont="1" applyFill="1" applyBorder="1" applyAlignment="1" applyProtection="1">
      <alignment horizontal="center"/>
      <protection hidden="1"/>
    </xf>
    <xf numFmtId="2" fontId="18" fillId="30" borderId="42" xfId="40" applyNumberFormat="1" applyFont="1" applyFill="1" applyBorder="1" applyAlignment="1" applyProtection="1">
      <alignment horizontal="center"/>
      <protection hidden="1"/>
    </xf>
    <xf numFmtId="178" fontId="18" fillId="30" borderId="42" xfId="40" applyNumberFormat="1" applyFont="1" applyFill="1" applyBorder="1" applyAlignment="1" applyProtection="1">
      <alignment horizontal="center"/>
      <protection hidden="1"/>
    </xf>
    <xf numFmtId="1" fontId="18" fillId="30" borderId="24" xfId="40" applyNumberFormat="1" applyFont="1" applyFill="1" applyBorder="1" applyAlignment="1" applyProtection="1">
      <alignment horizontal="center"/>
      <protection hidden="1"/>
    </xf>
    <xf numFmtId="1" fontId="18" fillId="30" borderId="43" xfId="40" applyNumberFormat="1" applyFont="1" applyFill="1" applyBorder="1" applyAlignment="1" applyProtection="1">
      <alignment horizontal="center"/>
      <protection hidden="1"/>
    </xf>
    <xf numFmtId="0" fontId="50" fillId="28" borderId="0" xfId="58" applyFill="1"/>
    <xf numFmtId="0" fontId="50" fillId="28" borderId="28" xfId="58" applyFill="1" applyBorder="1"/>
    <xf numFmtId="0" fontId="50" fillId="28" borderId="29" xfId="58" applyFill="1" applyBorder="1"/>
    <xf numFmtId="0" fontId="50" fillId="28" borderId="30" xfId="58" applyFill="1" applyBorder="1"/>
    <xf numFmtId="0" fontId="50" fillId="28" borderId="26" xfId="58" applyFill="1" applyBorder="1"/>
    <xf numFmtId="0" fontId="51" fillId="28" borderId="0" xfId="58" applyFont="1" applyFill="1" applyAlignment="1">
      <alignment vertical="center"/>
    </xf>
    <xf numFmtId="0" fontId="50" fillId="28" borderId="0" xfId="58" applyFill="1" applyBorder="1"/>
    <xf numFmtId="0" fontId="50" fillId="28" borderId="27" xfId="58" applyFill="1" applyBorder="1"/>
    <xf numFmtId="0" fontId="52" fillId="28" borderId="0" xfId="58" applyFont="1" applyFill="1" applyAlignment="1">
      <alignment vertical="center"/>
    </xf>
    <xf numFmtId="0" fontId="52" fillId="28" borderId="0" xfId="58" applyFont="1" applyFill="1" applyAlignment="1">
      <alignment horizontal="left" vertical="center" indent="4"/>
    </xf>
    <xf numFmtId="0" fontId="54" fillId="28" borderId="0" xfId="58" applyFont="1" applyFill="1" applyAlignment="1">
      <alignment horizontal="left" vertical="center" indent="8"/>
    </xf>
    <xf numFmtId="0" fontId="1" fillId="28" borderId="0" xfId="58" applyFont="1" applyFill="1" applyBorder="1"/>
    <xf numFmtId="0" fontId="28" fillId="28" borderId="26" xfId="58" applyFont="1" applyFill="1" applyBorder="1"/>
    <xf numFmtId="0" fontId="28" fillId="28" borderId="27" xfId="58" applyFont="1" applyFill="1" applyBorder="1"/>
    <xf numFmtId="0" fontId="28" fillId="28" borderId="0" xfId="58" applyFont="1" applyFill="1" applyBorder="1"/>
    <xf numFmtId="0" fontId="28" fillId="28" borderId="32" xfId="58" applyFont="1" applyFill="1" applyBorder="1"/>
    <xf numFmtId="0" fontId="28" fillId="28" borderId="33" xfId="58" applyFont="1" applyFill="1" applyBorder="1"/>
    <xf numFmtId="0" fontId="28" fillId="28" borderId="34" xfId="58" applyFont="1" applyFill="1" applyBorder="1"/>
    <xf numFmtId="0" fontId="0" fillId="28" borderId="0" xfId="58" applyFont="1" applyFill="1"/>
    <xf numFmtId="0" fontId="37" fillId="26" borderId="0" xfId="40" quotePrefix="1" applyFont="1" applyFill="1" applyBorder="1" applyAlignment="1" applyProtection="1">
      <alignment horizontal="center"/>
    </xf>
    <xf numFmtId="0" fontId="0" fillId="0" borderId="0" xfId="0" applyBorder="1" applyAlignment="1">
      <alignment horizontal="center"/>
    </xf>
    <xf numFmtId="0" fontId="0" fillId="0" borderId="30" xfId="0" applyBorder="1" applyAlignment="1">
      <alignment horizontal="center"/>
    </xf>
    <xf numFmtId="9" fontId="0" fillId="0" borderId="40" xfId="2" applyNumberFormat="1" applyFont="1" applyBorder="1" applyAlignment="1">
      <alignment horizontal="center"/>
    </xf>
    <xf numFmtId="2" fontId="0" fillId="0" borderId="27" xfId="0" applyNumberFormat="1" applyBorder="1" applyAlignment="1">
      <alignment horizontal="center"/>
    </xf>
    <xf numFmtId="0" fontId="0" fillId="0" borderId="0" xfId="0" applyFill="1" applyBorder="1"/>
    <xf numFmtId="11" fontId="0" fillId="0" borderId="0" xfId="0" applyNumberFormat="1" applyFont="1" applyFill="1" applyBorder="1" applyAlignment="1">
      <alignment horizontal="center"/>
    </xf>
    <xf numFmtId="0" fontId="60" fillId="0" borderId="0" xfId="0" applyFont="1" applyBorder="1" applyAlignment="1">
      <alignment horizontal="center"/>
    </xf>
    <xf numFmtId="0" fontId="60" fillId="0" borderId="0" xfId="0" applyNumberFormat="1" applyFont="1" applyBorder="1" applyAlignment="1">
      <alignment horizontal="center"/>
    </xf>
    <xf numFmtId="0" fontId="60" fillId="0" borderId="27" xfId="0" applyFont="1" applyBorder="1" applyAlignment="1">
      <alignment horizontal="center"/>
    </xf>
    <xf numFmtId="0" fontId="60" fillId="0" borderId="26" xfId="0" applyFont="1" applyBorder="1" applyAlignment="1">
      <alignment horizontal="center"/>
    </xf>
    <xf numFmtId="1" fontId="60" fillId="0" borderId="0" xfId="0" applyNumberFormat="1" applyFont="1" applyBorder="1" applyAlignment="1">
      <alignment horizontal="center"/>
    </xf>
    <xf numFmtId="0" fontId="0" fillId="0" borderId="0" xfId="0" applyAlignment="1">
      <alignment horizontal="center"/>
    </xf>
    <xf numFmtId="1" fontId="18" fillId="30" borderId="47" xfId="40" applyNumberFormat="1" applyFont="1" applyFill="1" applyBorder="1" applyAlignment="1" applyProtection="1">
      <alignment horizontal="center"/>
      <protection hidden="1"/>
    </xf>
    <xf numFmtId="0" fontId="38" fillId="26" borderId="17" xfId="40" applyFont="1" applyFill="1" applyBorder="1" applyAlignment="1" applyProtection="1">
      <alignment horizontal="left"/>
    </xf>
    <xf numFmtId="0" fontId="18" fillId="26" borderId="12" xfId="40" applyFont="1" applyFill="1" applyBorder="1" applyAlignment="1" applyProtection="1">
      <alignment horizontal="center"/>
    </xf>
    <xf numFmtId="1" fontId="18" fillId="26" borderId="12" xfId="40" applyNumberFormat="1" applyFont="1" applyFill="1" applyBorder="1" applyAlignment="1" applyProtection="1">
      <alignment horizontal="center"/>
    </xf>
    <xf numFmtId="1" fontId="18" fillId="26" borderId="12" xfId="40" applyNumberFormat="1" applyFont="1" applyFill="1" applyBorder="1" applyAlignment="1" applyProtection="1">
      <alignment horizontal="center"/>
      <protection hidden="1"/>
    </xf>
    <xf numFmtId="178" fontId="18" fillId="26" borderId="12" xfId="40" applyNumberFormat="1" applyFont="1" applyFill="1" applyBorder="1" applyAlignment="1" applyProtection="1">
      <alignment horizontal="center"/>
    </xf>
    <xf numFmtId="0" fontId="37" fillId="26" borderId="18" xfId="40" applyFont="1" applyFill="1" applyBorder="1" applyAlignment="1" applyProtection="1">
      <alignment horizontal="right"/>
    </xf>
    <xf numFmtId="0" fontId="35" fillId="26" borderId="21" xfId="40" applyFont="1" applyFill="1" applyBorder="1" applyAlignment="1" applyProtection="1">
      <alignment horizontal="right"/>
    </xf>
    <xf numFmtId="0" fontId="0" fillId="0" borderId="0" xfId="0" applyBorder="1" applyAlignment="1">
      <alignment horizontal="center"/>
    </xf>
    <xf numFmtId="0" fontId="0" fillId="0" borderId="0" xfId="0" applyBorder="1" applyAlignment="1">
      <alignment horizontal="center"/>
    </xf>
    <xf numFmtId="0" fontId="63" fillId="0" borderId="29" xfId="0" applyFont="1" applyFill="1" applyBorder="1" applyAlignment="1" applyProtection="1">
      <alignment horizontal="center"/>
      <protection locked="0"/>
    </xf>
    <xf numFmtId="0" fontId="63" fillId="0" borderId="29" xfId="0" quotePrefix="1" applyNumberFormat="1" applyFont="1" applyFill="1" applyBorder="1" applyAlignment="1" applyProtection="1">
      <alignment horizontal="center"/>
      <protection locked="0"/>
    </xf>
    <xf numFmtId="0" fontId="63" fillId="0" borderId="29" xfId="44" applyFont="1" applyFill="1" applyBorder="1" applyAlignment="1" applyProtection="1">
      <alignment horizontal="center"/>
      <protection locked="0"/>
    </xf>
    <xf numFmtId="0" fontId="63" fillId="0" borderId="30" xfId="0" applyNumberFormat="1" applyFont="1" applyFill="1" applyBorder="1" applyAlignment="1" applyProtection="1">
      <alignment horizontal="center"/>
      <protection locked="0"/>
    </xf>
    <xf numFmtId="1" fontId="63" fillId="0" borderId="28" xfId="1" applyNumberFormat="1" applyFont="1" applyBorder="1" applyAlignment="1" applyProtection="1">
      <alignment horizontal="center" vertical="center"/>
      <protection locked="0"/>
    </xf>
    <xf numFmtId="1" fontId="63" fillId="0" borderId="29" xfId="0" applyNumberFormat="1" applyFont="1" applyFill="1" applyBorder="1" applyAlignment="1" applyProtection="1">
      <alignment horizontal="center"/>
      <protection locked="0"/>
    </xf>
    <xf numFmtId="0" fontId="63" fillId="0" borderId="29" xfId="0" applyNumberFormat="1" applyFont="1" applyFill="1" applyBorder="1" applyAlignment="1" applyProtection="1">
      <alignment horizontal="center"/>
      <protection locked="0"/>
    </xf>
    <xf numFmtId="11" fontId="63" fillId="0" borderId="28" xfId="0" applyNumberFormat="1" applyFont="1" applyFill="1" applyBorder="1" applyAlignment="1" applyProtection="1">
      <alignment horizontal="center"/>
      <protection locked="0"/>
    </xf>
    <xf numFmtId="11" fontId="63" fillId="0" borderId="29" xfId="0" applyNumberFormat="1" applyFont="1" applyFill="1" applyBorder="1" applyAlignment="1" applyProtection="1">
      <alignment horizontal="center"/>
      <protection locked="0"/>
    </xf>
    <xf numFmtId="11" fontId="63" fillId="0" borderId="30" xfId="0" applyNumberFormat="1" applyFont="1" applyFill="1" applyBorder="1" applyAlignment="1" applyProtection="1">
      <alignment horizontal="center"/>
      <protection locked="0"/>
    </xf>
    <xf numFmtId="181" fontId="63" fillId="0" borderId="28" xfId="0" applyNumberFormat="1" applyFont="1" applyFill="1" applyBorder="1" applyAlignment="1" applyProtection="1">
      <alignment horizontal="center"/>
      <protection locked="0"/>
    </xf>
    <xf numFmtId="181" fontId="63" fillId="0" borderId="29" xfId="0" applyNumberFormat="1" applyFont="1" applyFill="1" applyBorder="1" applyAlignment="1" applyProtection="1">
      <alignment horizontal="center"/>
      <protection locked="0"/>
    </xf>
    <xf numFmtId="0" fontId="63" fillId="0" borderId="30" xfId="0" applyFont="1" applyFill="1" applyBorder="1" applyAlignment="1" applyProtection="1">
      <alignment horizontal="center"/>
      <protection locked="0"/>
    </xf>
    <xf numFmtId="11" fontId="63" fillId="0" borderId="28" xfId="0" applyNumberFormat="1" applyFont="1" applyBorder="1" applyAlignment="1" applyProtection="1">
      <alignment horizontal="center"/>
      <protection locked="0"/>
    </xf>
    <xf numFmtId="11" fontId="63" fillId="0" borderId="29" xfId="0" applyNumberFormat="1" applyFont="1" applyBorder="1" applyAlignment="1" applyProtection="1">
      <alignment horizontal="center"/>
      <protection locked="0"/>
    </xf>
    <xf numFmtId="11" fontId="63" fillId="0" borderId="30" xfId="0" applyNumberFormat="1" applyFont="1" applyBorder="1" applyAlignment="1" applyProtection="1">
      <alignment horizontal="center"/>
      <protection locked="0"/>
    </xf>
    <xf numFmtId="0" fontId="63" fillId="0" borderId="28" xfId="0" applyFont="1" applyBorder="1" applyAlignment="1">
      <alignment horizontal="center"/>
    </xf>
    <xf numFmtId="11" fontId="63" fillId="0" borderId="29" xfId="0" applyNumberFormat="1" applyFont="1" applyBorder="1" applyAlignment="1">
      <alignment horizontal="center"/>
    </xf>
    <xf numFmtId="0" fontId="63" fillId="0" borderId="30" xfId="0" applyFont="1" applyBorder="1" applyAlignment="1">
      <alignment horizontal="center"/>
    </xf>
    <xf numFmtId="11" fontId="63" fillId="0" borderId="30" xfId="0" applyNumberFormat="1" applyFont="1" applyBorder="1" applyAlignment="1">
      <alignment horizontal="center"/>
    </xf>
    <xf numFmtId="0" fontId="63" fillId="0" borderId="29" xfId="0" applyFont="1" applyBorder="1" applyAlignment="1">
      <alignment horizontal="center"/>
    </xf>
    <xf numFmtId="0" fontId="63" fillId="0" borderId="0" xfId="0" applyFont="1" applyBorder="1" applyAlignment="1" applyProtection="1">
      <alignment horizontal="center"/>
      <protection locked="0"/>
    </xf>
    <xf numFmtId="0" fontId="62" fillId="0" borderId="28" xfId="0" applyFont="1" applyBorder="1" applyAlignment="1" applyProtection="1">
      <alignment horizontal="center"/>
      <protection locked="0"/>
    </xf>
    <xf numFmtId="0" fontId="63" fillId="0" borderId="26" xfId="0" applyFont="1" applyBorder="1" applyAlignment="1" applyProtection="1">
      <alignment horizontal="center"/>
      <protection locked="0"/>
    </xf>
    <xf numFmtId="0" fontId="63" fillId="0" borderId="0" xfId="0" applyFont="1" applyBorder="1" applyAlignment="1">
      <alignment horizontal="center"/>
    </xf>
    <xf numFmtId="0" fontId="63" fillId="0" borderId="0" xfId="0" quotePrefix="1" applyNumberFormat="1" applyFont="1" applyFill="1" applyBorder="1" applyAlignment="1" applyProtection="1">
      <alignment horizontal="center"/>
      <protection locked="0"/>
    </xf>
    <xf numFmtId="0" fontId="63" fillId="0" borderId="27" xfId="0" applyFont="1" applyBorder="1" applyAlignment="1">
      <alignment horizontal="center"/>
    </xf>
    <xf numFmtId="0" fontId="63" fillId="0" borderId="26" xfId="0" applyFont="1" applyBorder="1" applyAlignment="1">
      <alignment horizontal="center"/>
    </xf>
    <xf numFmtId="1" fontId="63" fillId="0" borderId="0" xfId="0" applyNumberFormat="1" applyFont="1" applyBorder="1" applyAlignment="1">
      <alignment horizontal="center"/>
    </xf>
    <xf numFmtId="11" fontId="63" fillId="0" borderId="26" xfId="0" applyNumberFormat="1" applyFont="1" applyBorder="1" applyAlignment="1">
      <alignment horizontal="center"/>
    </xf>
    <xf numFmtId="11" fontId="63" fillId="0" borderId="0" xfId="0" applyNumberFormat="1" applyFont="1" applyBorder="1" applyAlignment="1">
      <alignment horizontal="center"/>
    </xf>
    <xf numFmtId="11" fontId="63" fillId="0" borderId="27" xfId="0" applyNumberFormat="1" applyFont="1" applyBorder="1" applyAlignment="1">
      <alignment horizontal="center"/>
    </xf>
    <xf numFmtId="181" fontId="63" fillId="0" borderId="26" xfId="0" applyNumberFormat="1" applyFont="1" applyFill="1" applyBorder="1" applyAlignment="1" applyProtection="1">
      <alignment horizontal="center"/>
      <protection locked="0"/>
    </xf>
    <xf numFmtId="181" fontId="63" fillId="0" borderId="0" xfId="0" applyNumberFormat="1" applyFont="1" applyFill="1" applyBorder="1" applyAlignment="1" applyProtection="1">
      <alignment horizontal="center"/>
      <protection locked="0"/>
    </xf>
    <xf numFmtId="0" fontId="63" fillId="0" borderId="0" xfId="0" applyFont="1" applyFill="1" applyBorder="1" applyAlignment="1" applyProtection="1">
      <alignment horizontal="center"/>
      <protection locked="0"/>
    </xf>
    <xf numFmtId="0" fontId="63" fillId="0" borderId="27" xfId="0" applyFont="1" applyFill="1" applyBorder="1" applyAlignment="1" applyProtection="1">
      <alignment horizontal="center"/>
      <protection locked="0"/>
    </xf>
    <xf numFmtId="11" fontId="63" fillId="0" borderId="26" xfId="0" applyNumberFormat="1" applyFont="1" applyBorder="1" applyAlignment="1" applyProtection="1">
      <alignment horizontal="center"/>
      <protection locked="0"/>
    </xf>
    <xf numFmtId="11" fontId="63" fillId="0" borderId="0" xfId="0" applyNumberFormat="1" applyFont="1" applyBorder="1" applyAlignment="1" applyProtection="1">
      <alignment horizontal="center"/>
      <protection locked="0"/>
    </xf>
    <xf numFmtId="0" fontId="63" fillId="0" borderId="0" xfId="0" applyNumberFormat="1" applyFont="1" applyFill="1" applyBorder="1" applyAlignment="1" applyProtection="1">
      <alignment horizontal="center"/>
      <protection locked="0"/>
    </xf>
    <xf numFmtId="0" fontId="63" fillId="0" borderId="27" xfId="0" applyNumberFormat="1" applyFont="1" applyFill="1" applyBorder="1" applyAlignment="1" applyProtection="1">
      <alignment horizontal="center"/>
      <protection locked="0"/>
    </xf>
    <xf numFmtId="11" fontId="63" fillId="0" borderId="27" xfId="0" applyNumberFormat="1" applyFont="1" applyBorder="1" applyAlignment="1" applyProtection="1">
      <alignment horizontal="center"/>
      <protection locked="0"/>
    </xf>
    <xf numFmtId="0" fontId="63" fillId="0" borderId="29" xfId="0" applyNumberFormat="1" applyFont="1" applyBorder="1" applyAlignment="1">
      <alignment horizontal="center"/>
    </xf>
    <xf numFmtId="1" fontId="63" fillId="0" borderId="29" xfId="0" applyNumberFormat="1" applyFont="1" applyBorder="1" applyAlignment="1">
      <alignment horizontal="center"/>
    </xf>
    <xf numFmtId="11" fontId="63" fillId="0" borderId="28" xfId="0" applyNumberFormat="1" applyFont="1" applyBorder="1" applyAlignment="1">
      <alignment horizontal="center"/>
    </xf>
    <xf numFmtId="11" fontId="63" fillId="0" borderId="0" xfId="0" applyNumberFormat="1" applyFont="1" applyFill="1" applyBorder="1" applyAlignment="1" applyProtection="1">
      <alignment horizontal="center"/>
      <protection locked="0"/>
    </xf>
    <xf numFmtId="0" fontId="63" fillId="0" borderId="0" xfId="0" applyNumberFormat="1" applyFont="1" applyBorder="1" applyAlignment="1">
      <alignment horizontal="center"/>
    </xf>
    <xf numFmtId="0" fontId="62" fillId="0" borderId="26" xfId="0" applyFont="1" applyBorder="1" applyAlignment="1" applyProtection="1">
      <alignment horizontal="center"/>
      <protection locked="0"/>
    </xf>
    <xf numFmtId="0" fontId="62" fillId="0" borderId="28" xfId="0" applyFont="1" applyBorder="1" applyAlignment="1">
      <alignment horizontal="center"/>
    </xf>
    <xf numFmtId="0" fontId="63" fillId="0" borderId="0" xfId="0" applyFont="1" applyBorder="1"/>
    <xf numFmtId="11" fontId="0" fillId="0" borderId="0" xfId="0" applyNumberFormat="1"/>
    <xf numFmtId="0" fontId="64" fillId="0" borderId="32" xfId="0" applyFont="1" applyBorder="1" applyAlignment="1" applyProtection="1">
      <alignment horizontal="center"/>
      <protection locked="0"/>
    </xf>
    <xf numFmtId="0" fontId="65" fillId="0" borderId="33" xfId="0" applyFont="1" applyBorder="1" applyAlignment="1">
      <alignment horizontal="center"/>
    </xf>
    <xf numFmtId="0" fontId="65" fillId="0" borderId="33" xfId="0" applyNumberFormat="1" applyFont="1" applyBorder="1" applyAlignment="1">
      <alignment horizontal="center"/>
    </xf>
    <xf numFmtId="0" fontId="65" fillId="0" borderId="34" xfId="0" applyFont="1" applyBorder="1" applyAlignment="1">
      <alignment horizontal="center"/>
    </xf>
    <xf numFmtId="0" fontId="65" fillId="0" borderId="32" xfId="0" applyFont="1" applyBorder="1" applyAlignment="1">
      <alignment horizontal="center"/>
    </xf>
    <xf numFmtId="1" fontId="65" fillId="0" borderId="33" xfId="0" applyNumberFormat="1" applyFont="1" applyBorder="1" applyAlignment="1">
      <alignment horizontal="center"/>
    </xf>
    <xf numFmtId="11" fontId="65" fillId="0" borderId="32" xfId="0" applyNumberFormat="1" applyFont="1" applyBorder="1" applyAlignment="1">
      <alignment horizontal="center"/>
    </xf>
    <xf numFmtId="11" fontId="65" fillId="0" borderId="33" xfId="0" applyNumberFormat="1" applyFont="1" applyBorder="1" applyAlignment="1">
      <alignment horizontal="center"/>
    </xf>
    <xf numFmtId="11" fontId="65" fillId="0" borderId="34" xfId="0" applyNumberFormat="1" applyFont="1" applyBorder="1" applyAlignment="1">
      <alignment horizontal="center"/>
    </xf>
    <xf numFmtId="181" fontId="65" fillId="0" borderId="33" xfId="0" applyNumberFormat="1" applyFont="1" applyFill="1" applyBorder="1" applyAlignment="1" applyProtection="1">
      <alignment horizontal="center"/>
      <protection locked="0"/>
    </xf>
    <xf numFmtId="11" fontId="65" fillId="0" borderId="33" xfId="0" applyNumberFormat="1" applyFont="1" applyFill="1" applyBorder="1" applyAlignment="1" applyProtection="1">
      <alignment horizontal="center"/>
      <protection locked="0"/>
    </xf>
    <xf numFmtId="0" fontId="65" fillId="0" borderId="34" xfId="0" applyFont="1" applyFill="1" applyBorder="1" applyAlignment="1" applyProtection="1">
      <alignment horizontal="center"/>
      <protection locked="0"/>
    </xf>
    <xf numFmtId="11" fontId="65" fillId="0" borderId="32" xfId="0" applyNumberFormat="1" applyFont="1" applyBorder="1" applyAlignment="1" applyProtection="1">
      <alignment horizontal="center"/>
      <protection locked="0"/>
    </xf>
    <xf numFmtId="11" fontId="65" fillId="0" borderId="33" xfId="0" applyNumberFormat="1" applyFont="1" applyBorder="1" applyAlignment="1" applyProtection="1">
      <alignment horizontal="center"/>
      <protection locked="0"/>
    </xf>
    <xf numFmtId="0" fontId="65" fillId="0" borderId="34" xfId="0" applyNumberFormat="1" applyFont="1" applyFill="1" applyBorder="1" applyAlignment="1" applyProtection="1">
      <alignment horizontal="center"/>
      <protection locked="0"/>
    </xf>
    <xf numFmtId="11" fontId="65" fillId="0" borderId="26" xfId="0" applyNumberFormat="1" applyFont="1" applyBorder="1" applyAlignment="1" applyProtection="1">
      <alignment horizontal="center"/>
      <protection locked="0"/>
    </xf>
    <xf numFmtId="11" fontId="65" fillId="0" borderId="0" xfId="0" applyNumberFormat="1" applyFont="1" applyBorder="1" applyAlignment="1" applyProtection="1">
      <alignment horizontal="center"/>
      <protection locked="0"/>
    </xf>
    <xf numFmtId="11" fontId="65" fillId="0" borderId="27" xfId="0" applyNumberFormat="1" applyFont="1" applyBorder="1" applyAlignment="1" applyProtection="1">
      <alignment horizontal="center"/>
      <protection locked="0"/>
    </xf>
    <xf numFmtId="11" fontId="65" fillId="0" borderId="0" xfId="0" applyNumberFormat="1" applyFont="1" applyFill="1" applyBorder="1" applyAlignment="1" applyProtection="1">
      <alignment horizontal="center"/>
      <protection locked="0"/>
    </xf>
    <xf numFmtId="0" fontId="65" fillId="0" borderId="27" xfId="0" applyNumberFormat="1" applyFont="1" applyFill="1" applyBorder="1" applyAlignment="1" applyProtection="1">
      <alignment horizontal="center"/>
      <protection locked="0"/>
    </xf>
    <xf numFmtId="11" fontId="65" fillId="0" borderId="34" xfId="0" applyNumberFormat="1" applyFont="1" applyBorder="1" applyAlignment="1" applyProtection="1">
      <alignment horizontal="center"/>
      <protection locked="0"/>
    </xf>
    <xf numFmtId="0" fontId="65" fillId="0" borderId="0" xfId="0" applyFont="1" applyBorder="1" applyAlignment="1">
      <alignment horizontal="center"/>
    </xf>
    <xf numFmtId="181" fontId="65" fillId="0" borderId="32" xfId="0" applyNumberFormat="1" applyFont="1" applyFill="1" applyBorder="1" applyAlignment="1" applyProtection="1">
      <alignment horizontal="center"/>
      <protection locked="0"/>
    </xf>
    <xf numFmtId="0" fontId="65" fillId="0" borderId="33" xfId="0" applyFont="1" applyFill="1" applyBorder="1" applyAlignment="1" applyProtection="1">
      <alignment horizontal="center"/>
      <protection locked="0"/>
    </xf>
    <xf numFmtId="1" fontId="65" fillId="0" borderId="32" xfId="0" applyNumberFormat="1" applyFont="1" applyBorder="1" applyAlignment="1">
      <alignment horizontal="center"/>
    </xf>
    <xf numFmtId="180" fontId="65" fillId="0" borderId="33" xfId="0" applyNumberFormat="1" applyFont="1" applyBorder="1" applyAlignment="1">
      <alignment horizontal="center"/>
    </xf>
    <xf numFmtId="2" fontId="65" fillId="0" borderId="33" xfId="0" applyNumberFormat="1" applyFont="1" applyBorder="1" applyAlignment="1">
      <alignment horizontal="center"/>
    </xf>
    <xf numFmtId="182" fontId="65" fillId="0" borderId="34" xfId="0" applyNumberFormat="1" applyFont="1" applyBorder="1" applyAlignment="1">
      <alignment horizontal="center"/>
    </xf>
    <xf numFmtId="2" fontId="65" fillId="0" borderId="34" xfId="0" applyNumberFormat="1" applyFont="1" applyBorder="1" applyAlignment="1">
      <alignment horizontal="center"/>
    </xf>
    <xf numFmtId="0" fontId="0" fillId="0" borderId="0" xfId="0" applyAlignment="1">
      <alignment horizontal="center" vertical="center"/>
    </xf>
    <xf numFmtId="179" fontId="0" fillId="0" borderId="35" xfId="0" applyNumberFormat="1" applyBorder="1" applyAlignment="1">
      <alignment horizontal="center"/>
    </xf>
    <xf numFmtId="179" fontId="0" fillId="0" borderId="40" xfId="0" applyNumberFormat="1" applyBorder="1" applyAlignment="1">
      <alignment horizontal="center"/>
    </xf>
    <xf numFmtId="184" fontId="0" fillId="0" borderId="40" xfId="2" applyNumberFormat="1" applyFont="1" applyBorder="1" applyAlignment="1">
      <alignment horizontal="center"/>
    </xf>
    <xf numFmtId="184" fontId="0" fillId="0" borderId="35" xfId="2" applyNumberFormat="1" applyFont="1" applyBorder="1" applyAlignment="1">
      <alignment horizontal="center"/>
    </xf>
    <xf numFmtId="181" fontId="0" fillId="0" borderId="29" xfId="0" applyNumberFormat="1" applyBorder="1" applyAlignment="1">
      <alignment horizontal="center" vertical="center"/>
    </xf>
    <xf numFmtId="181" fontId="0" fillId="0" borderId="0" xfId="0" applyNumberFormat="1" applyBorder="1" applyAlignment="1">
      <alignment horizontal="center" vertical="center"/>
    </xf>
    <xf numFmtId="0" fontId="19" fillId="32" borderId="31" xfId="0" applyFont="1" applyFill="1" applyBorder="1" applyAlignment="1">
      <alignment horizontal="center"/>
    </xf>
    <xf numFmtId="0" fontId="62" fillId="0" borderId="32" xfId="0" applyFont="1" applyBorder="1" applyAlignment="1" applyProtection="1">
      <alignment horizontal="center"/>
      <protection locked="0"/>
    </xf>
    <xf numFmtId="0" fontId="63" fillId="0" borderId="33" xfId="0" applyFont="1" applyBorder="1" applyAlignment="1">
      <alignment horizontal="center"/>
    </xf>
    <xf numFmtId="0" fontId="63" fillId="0" borderId="33" xfId="0" applyNumberFormat="1" applyFont="1" applyBorder="1" applyAlignment="1">
      <alignment horizontal="center"/>
    </xf>
    <xf numFmtId="0" fontId="2" fillId="45" borderId="25" xfId="0" applyFont="1" applyFill="1" applyBorder="1" applyAlignment="1">
      <alignment horizontal="center"/>
    </xf>
    <xf numFmtId="185" fontId="0" fillId="0" borderId="0" xfId="0" applyNumberFormat="1"/>
    <xf numFmtId="186" fontId="65" fillId="0" borderId="32" xfId="0" applyNumberFormat="1" applyFont="1" applyBorder="1" applyAlignment="1">
      <alignment horizontal="center"/>
    </xf>
    <xf numFmtId="186" fontId="65" fillId="0" borderId="33" xfId="0" applyNumberFormat="1" applyFont="1" applyBorder="1" applyAlignment="1">
      <alignment horizontal="center"/>
    </xf>
    <xf numFmtId="186" fontId="65" fillId="0" borderId="34" xfId="0" applyNumberFormat="1" applyFont="1" applyBorder="1" applyAlignment="1">
      <alignment horizontal="center"/>
    </xf>
    <xf numFmtId="183" fontId="0" fillId="0" borderId="27" xfId="0" applyNumberFormat="1" applyBorder="1" applyAlignment="1">
      <alignment horizontal="center"/>
    </xf>
    <xf numFmtId="181" fontId="0" fillId="0" borderId="29" xfId="0" applyNumberFormat="1" applyBorder="1" applyAlignment="1">
      <alignment horizontal="center"/>
    </xf>
    <xf numFmtId="187" fontId="63" fillId="0" borderId="26" xfId="0" applyNumberFormat="1" applyFont="1" applyBorder="1" applyAlignment="1">
      <alignment horizontal="center"/>
    </xf>
    <xf numFmtId="187" fontId="63" fillId="0" borderId="0" xfId="0" applyNumberFormat="1" applyFont="1" applyBorder="1" applyAlignment="1">
      <alignment horizontal="center"/>
    </xf>
    <xf numFmtId="187" fontId="63" fillId="0" borderId="27" xfId="0" applyNumberFormat="1" applyFont="1" applyBorder="1" applyAlignment="1">
      <alignment horizontal="center"/>
    </xf>
    <xf numFmtId="187" fontId="62" fillId="0" borderId="28" xfId="0" applyNumberFormat="1" applyFont="1" applyBorder="1" applyAlignment="1">
      <alignment horizontal="center"/>
    </xf>
    <xf numFmtId="187" fontId="63" fillId="0" borderId="29" xfId="0" applyNumberFormat="1" applyFont="1" applyBorder="1" applyAlignment="1">
      <alignment horizontal="center"/>
    </xf>
    <xf numFmtId="187" fontId="63" fillId="0" borderId="30" xfId="0" applyNumberFormat="1" applyFont="1" applyBorder="1" applyAlignment="1">
      <alignment horizontal="center"/>
    </xf>
    <xf numFmtId="188" fontId="62" fillId="0" borderId="28" xfId="0" applyNumberFormat="1" applyFont="1" applyBorder="1" applyAlignment="1">
      <alignment horizontal="center"/>
    </xf>
    <xf numFmtId="188" fontId="63" fillId="0" borderId="29" xfId="0" applyNumberFormat="1" applyFont="1" applyBorder="1" applyAlignment="1">
      <alignment horizontal="center"/>
    </xf>
    <xf numFmtId="188" fontId="63" fillId="0" borderId="30" xfId="0" applyNumberFormat="1" applyFont="1" applyBorder="1" applyAlignment="1">
      <alignment horizontal="center"/>
    </xf>
    <xf numFmtId="188" fontId="63" fillId="0" borderId="26" xfId="0" applyNumberFormat="1" applyFont="1" applyBorder="1" applyAlignment="1">
      <alignment horizontal="center"/>
    </xf>
    <xf numFmtId="188" fontId="63" fillId="0" borderId="0" xfId="0" applyNumberFormat="1" applyFont="1" applyBorder="1" applyAlignment="1">
      <alignment horizontal="center"/>
    </xf>
    <xf numFmtId="188" fontId="63" fillId="0" borderId="27" xfId="0" applyNumberFormat="1" applyFont="1" applyBorder="1" applyAlignment="1">
      <alignment horizontal="center"/>
    </xf>
    <xf numFmtId="189" fontId="63" fillId="0" borderId="29" xfId="0" applyNumberFormat="1" applyFont="1" applyBorder="1" applyAlignment="1">
      <alignment horizontal="center"/>
    </xf>
    <xf numFmtId="189" fontId="63" fillId="0" borderId="0" xfId="0" applyNumberFormat="1" applyFont="1" applyBorder="1" applyAlignment="1">
      <alignment horizontal="center"/>
    </xf>
    <xf numFmtId="190" fontId="63" fillId="0" borderId="0" xfId="0" applyNumberFormat="1" applyFont="1" applyBorder="1" applyAlignment="1">
      <alignment horizontal="center"/>
    </xf>
    <xf numFmtId="0" fontId="0" fillId="0" borderId="26" xfId="0" applyNumberFormat="1" applyFont="1" applyBorder="1" applyAlignment="1">
      <alignment horizontal="center"/>
    </xf>
    <xf numFmtId="0" fontId="43" fillId="30" borderId="17" xfId="0" applyFont="1" applyFill="1" applyBorder="1" applyAlignment="1" applyProtection="1">
      <alignment horizontal="center" vertical="center" wrapText="1"/>
      <protection hidden="1"/>
    </xf>
    <xf numFmtId="1" fontId="18" fillId="30" borderId="12" xfId="40" applyNumberFormat="1" applyFont="1" applyFill="1" applyBorder="1" applyAlignment="1" applyProtection="1">
      <alignment horizontal="center"/>
      <protection hidden="1"/>
    </xf>
    <xf numFmtId="2" fontId="18" fillId="30" borderId="12" xfId="40" applyNumberFormat="1" applyFont="1" applyFill="1" applyBorder="1" applyAlignment="1" applyProtection="1">
      <alignment horizontal="center"/>
      <protection hidden="1"/>
    </xf>
    <xf numFmtId="178" fontId="18" fillId="30" borderId="12" xfId="40" applyNumberFormat="1" applyFont="1" applyFill="1" applyBorder="1" applyAlignment="1" applyProtection="1">
      <alignment horizontal="center"/>
      <protection hidden="1"/>
    </xf>
    <xf numFmtId="1" fontId="18" fillId="30" borderId="18" xfId="40" applyNumberFormat="1" applyFont="1" applyFill="1" applyBorder="1" applyAlignment="1" applyProtection="1">
      <alignment horizontal="center"/>
      <protection hidden="1"/>
    </xf>
    <xf numFmtId="0" fontId="43" fillId="30" borderId="51" xfId="0" applyFont="1" applyFill="1" applyBorder="1" applyAlignment="1" applyProtection="1">
      <alignment horizontal="center" vertical="center" wrapText="1"/>
      <protection hidden="1"/>
    </xf>
    <xf numFmtId="1" fontId="18" fillId="30" borderId="52" xfId="40" applyNumberFormat="1" applyFont="1" applyFill="1" applyBorder="1" applyAlignment="1" applyProtection="1">
      <alignment horizontal="center"/>
      <protection hidden="1"/>
    </xf>
    <xf numFmtId="2" fontId="18" fillId="30" borderId="52" xfId="40" applyNumberFormat="1" applyFont="1" applyFill="1" applyBorder="1" applyAlignment="1" applyProtection="1">
      <alignment horizontal="center"/>
      <protection hidden="1"/>
    </xf>
    <xf numFmtId="178" fontId="18" fillId="30" borderId="52" xfId="40" applyNumberFormat="1" applyFont="1" applyFill="1" applyBorder="1" applyAlignment="1" applyProtection="1">
      <alignment horizontal="center"/>
      <protection hidden="1"/>
    </xf>
    <xf numFmtId="1" fontId="18" fillId="30" borderId="53" xfId="40" applyNumberFormat="1" applyFont="1" applyFill="1" applyBorder="1" applyAlignment="1" applyProtection="1">
      <alignment horizontal="center"/>
      <protection hidden="1"/>
    </xf>
    <xf numFmtId="0" fontId="64" fillId="0" borderId="26" xfId="0" applyFont="1" applyBorder="1" applyAlignment="1" applyProtection="1">
      <alignment horizontal="center"/>
      <protection locked="0"/>
    </xf>
    <xf numFmtId="0" fontId="65" fillId="0" borderId="27" xfId="0" applyFont="1" applyBorder="1" applyAlignment="1">
      <alignment horizontal="center"/>
    </xf>
    <xf numFmtId="0" fontId="65" fillId="0" borderId="26" xfId="0" applyFont="1" applyBorder="1" applyAlignment="1" applyProtection="1">
      <alignment horizontal="center"/>
      <protection locked="0"/>
    </xf>
    <xf numFmtId="0" fontId="65" fillId="0" borderId="26" xfId="0" applyFont="1" applyBorder="1" applyAlignment="1">
      <alignment horizontal="center"/>
    </xf>
    <xf numFmtId="0" fontId="65" fillId="0" borderId="0" xfId="0" applyNumberFormat="1" applyFont="1" applyBorder="1" applyAlignment="1">
      <alignment horizontal="center"/>
    </xf>
    <xf numFmtId="0" fontId="0" fillId="0" borderId="0" xfId="58" applyFont="1" applyAlignment="1">
      <alignment horizontal="left" vertical="center" wrapText="1" indent="8"/>
    </xf>
    <xf numFmtId="0" fontId="1" fillId="0" borderId="0" xfId="58" applyFont="1" applyAlignment="1">
      <alignment horizontal="left" vertical="center" wrapText="1" indent="8"/>
    </xf>
    <xf numFmtId="0" fontId="52" fillId="28" borderId="0" xfId="58" applyFont="1" applyFill="1" applyAlignment="1">
      <alignment horizontal="left" vertical="center" wrapText="1"/>
    </xf>
    <xf numFmtId="0" fontId="52" fillId="0" borderId="0" xfId="58" applyFont="1" applyAlignment="1">
      <alignment horizontal="left" vertical="center" wrapText="1" indent="4"/>
    </xf>
    <xf numFmtId="0" fontId="50" fillId="28" borderId="0" xfId="58" applyFill="1" applyBorder="1"/>
    <xf numFmtId="0" fontId="52" fillId="0" borderId="0" xfId="58" applyFont="1" applyAlignment="1">
      <alignment vertical="center" wrapText="1"/>
    </xf>
    <xf numFmtId="0" fontId="52" fillId="28" borderId="0" xfId="58" applyFont="1" applyFill="1" applyAlignment="1">
      <alignment vertical="center" wrapText="1"/>
    </xf>
    <xf numFmtId="0" fontId="52" fillId="28" borderId="0" xfId="58" applyFont="1" applyFill="1" applyAlignment="1">
      <alignment horizontal="left" vertical="center" wrapText="1" indent="4"/>
    </xf>
    <xf numFmtId="0" fontId="26" fillId="0" borderId="0" xfId="0" applyFont="1" applyAlignment="1" applyProtection="1">
      <alignment horizontal="center"/>
    </xf>
    <xf numFmtId="0" fontId="26" fillId="0" borderId="12" xfId="0" applyFont="1" applyBorder="1" applyAlignment="1" applyProtection="1">
      <alignment horizontal="center"/>
    </xf>
    <xf numFmtId="0" fontId="28" fillId="27" borderId="48" xfId="40" applyFont="1" applyFill="1" applyBorder="1" applyAlignment="1" applyProtection="1">
      <alignment horizontal="center"/>
      <protection locked="0"/>
    </xf>
    <xf numFmtId="0" fontId="28" fillId="27" borderId="49" xfId="40" applyFont="1" applyFill="1" applyBorder="1" applyAlignment="1" applyProtection="1">
      <alignment horizontal="center"/>
      <protection locked="0"/>
    </xf>
    <xf numFmtId="0" fontId="28" fillId="27" borderId="50" xfId="40" applyFont="1" applyFill="1" applyBorder="1" applyAlignment="1" applyProtection="1">
      <alignment horizontal="center"/>
      <protection locked="0"/>
    </xf>
    <xf numFmtId="3" fontId="28" fillId="27" borderId="48" xfId="40" applyNumberFormat="1" applyFont="1" applyFill="1" applyBorder="1" applyAlignment="1" applyProtection="1">
      <alignment horizontal="center"/>
      <protection locked="0"/>
    </xf>
    <xf numFmtId="3" fontId="28" fillId="27" borderId="49" xfId="40" applyNumberFormat="1" applyFont="1" applyFill="1" applyBorder="1" applyAlignment="1" applyProtection="1">
      <alignment horizontal="center"/>
      <protection locked="0"/>
    </xf>
    <xf numFmtId="3" fontId="28" fillId="27" borderId="50" xfId="40" applyNumberFormat="1" applyFont="1" applyFill="1" applyBorder="1" applyAlignment="1" applyProtection="1">
      <alignment horizontal="center"/>
      <protection locked="0"/>
    </xf>
    <xf numFmtId="0" fontId="41" fillId="28" borderId="0" xfId="0" applyFont="1" applyFill="1" applyAlignment="1" applyProtection="1">
      <alignment horizontal="center" vertical="center"/>
    </xf>
    <xf numFmtId="0" fontId="42" fillId="28" borderId="0" xfId="0" applyFont="1" applyFill="1" applyAlignment="1" applyProtection="1">
      <alignment horizontal="center" vertical="center"/>
    </xf>
    <xf numFmtId="0" fontId="0" fillId="0" borderId="0" xfId="0" applyBorder="1" applyAlignment="1">
      <alignment horizontal="center"/>
    </xf>
    <xf numFmtId="0" fontId="0" fillId="45" borderId="0" xfId="0" applyFill="1" applyBorder="1" applyAlignment="1">
      <alignment horizontal="center"/>
    </xf>
  </cellXfs>
  <cellStyles count="743">
    <cellStyle name="20% - Accent1 10" xfId="59"/>
    <cellStyle name="20% - Accent1 11" xfId="60"/>
    <cellStyle name="20% - Accent1 12" xfId="61"/>
    <cellStyle name="20% - Accent1 2" xfId="3"/>
    <cellStyle name="20% - Accent1 2 2" xfId="62"/>
    <cellStyle name="20% - Accent1 2 2 2" xfId="63"/>
    <cellStyle name="20% - Accent1 2 3" xfId="64"/>
    <cellStyle name="20% - Accent1 2 3 2" xfId="65"/>
    <cellStyle name="20% - Accent1 2 4" xfId="66"/>
    <cellStyle name="20% - Accent1 2 5" xfId="67"/>
    <cellStyle name="20% - Accent1 2 6" xfId="68"/>
    <cellStyle name="20% - Accent1 2 7" xfId="69"/>
    <cellStyle name="20% - Accent1 2 8" xfId="70"/>
    <cellStyle name="20% - Accent1 2 9" xfId="71"/>
    <cellStyle name="20% - Accent1 3" xfId="72"/>
    <cellStyle name="20% - Accent1 3 2" xfId="73"/>
    <cellStyle name="20% - Accent1 3 2 2" xfId="74"/>
    <cellStyle name="20% - Accent1 3 3" xfId="75"/>
    <cellStyle name="20% - Accent1 3 3 2" xfId="76"/>
    <cellStyle name="20% - Accent1 3 4" xfId="77"/>
    <cellStyle name="20% - Accent1 3 5" xfId="78"/>
    <cellStyle name="20% - Accent1 3 6" xfId="79"/>
    <cellStyle name="20% - Accent1 3 7" xfId="80"/>
    <cellStyle name="20% - Accent1 3 8" xfId="81"/>
    <cellStyle name="20% - Accent1 3 9" xfId="82"/>
    <cellStyle name="20% - Accent1 4" xfId="83"/>
    <cellStyle name="20% - Accent1 4 2" xfId="84"/>
    <cellStyle name="20% - Accent1 5" xfId="85"/>
    <cellStyle name="20% - Accent1 5 2" xfId="86"/>
    <cellStyle name="20% - Accent1 6" xfId="87"/>
    <cellStyle name="20% - Accent1 6 2" xfId="88"/>
    <cellStyle name="20% - Accent1 7" xfId="89"/>
    <cellStyle name="20% - Accent1 8" xfId="90"/>
    <cellStyle name="20% - Accent1 9" xfId="91"/>
    <cellStyle name="20% - Accent2 10" xfId="92"/>
    <cellStyle name="20% - Accent2 11" xfId="93"/>
    <cellStyle name="20% - Accent2 12" xfId="94"/>
    <cellStyle name="20% - Accent2 2" xfId="4"/>
    <cellStyle name="20% - Accent2 2 2" xfId="95"/>
    <cellStyle name="20% - Accent2 2 2 2" xfId="96"/>
    <cellStyle name="20% - Accent2 2 3" xfId="97"/>
    <cellStyle name="20% - Accent2 2 3 2" xfId="98"/>
    <cellStyle name="20% - Accent2 2 4" xfId="99"/>
    <cellStyle name="20% - Accent2 2 5" xfId="100"/>
    <cellStyle name="20% - Accent2 2 6" xfId="101"/>
    <cellStyle name="20% - Accent2 2 7" xfId="102"/>
    <cellStyle name="20% - Accent2 2 8" xfId="103"/>
    <cellStyle name="20% - Accent2 2 9" xfId="104"/>
    <cellStyle name="20% - Accent2 3" xfId="105"/>
    <cellStyle name="20% - Accent2 3 2" xfId="106"/>
    <cellStyle name="20% - Accent2 3 2 2" xfId="107"/>
    <cellStyle name="20% - Accent2 3 3" xfId="108"/>
    <cellStyle name="20% - Accent2 3 3 2" xfId="109"/>
    <cellStyle name="20% - Accent2 3 4" xfId="110"/>
    <cellStyle name="20% - Accent2 3 5" xfId="111"/>
    <cellStyle name="20% - Accent2 3 6" xfId="112"/>
    <cellStyle name="20% - Accent2 3 7" xfId="113"/>
    <cellStyle name="20% - Accent2 3 8" xfId="114"/>
    <cellStyle name="20% - Accent2 3 9" xfId="115"/>
    <cellStyle name="20% - Accent2 4" xfId="116"/>
    <cellStyle name="20% - Accent2 4 2" xfId="117"/>
    <cellStyle name="20% - Accent2 5" xfId="118"/>
    <cellStyle name="20% - Accent2 5 2" xfId="119"/>
    <cellStyle name="20% - Accent2 6" xfId="120"/>
    <cellStyle name="20% - Accent2 6 2" xfId="121"/>
    <cellStyle name="20% - Accent2 7" xfId="122"/>
    <cellStyle name="20% - Accent2 8" xfId="123"/>
    <cellStyle name="20% - Accent2 9" xfId="124"/>
    <cellStyle name="20% - Accent3 10" xfId="125"/>
    <cellStyle name="20% - Accent3 11" xfId="126"/>
    <cellStyle name="20% - Accent3 12" xfId="127"/>
    <cellStyle name="20% - Accent3 2" xfId="5"/>
    <cellStyle name="20% - Accent3 2 2" xfId="128"/>
    <cellStyle name="20% - Accent3 2 2 2" xfId="129"/>
    <cellStyle name="20% - Accent3 2 3" xfId="130"/>
    <cellStyle name="20% - Accent3 2 3 2" xfId="131"/>
    <cellStyle name="20% - Accent3 2 4" xfId="132"/>
    <cellStyle name="20% - Accent3 2 5" xfId="133"/>
    <cellStyle name="20% - Accent3 2 6" xfId="134"/>
    <cellStyle name="20% - Accent3 2 7" xfId="135"/>
    <cellStyle name="20% - Accent3 2 8" xfId="136"/>
    <cellStyle name="20% - Accent3 2 9" xfId="137"/>
    <cellStyle name="20% - Accent3 3" xfId="138"/>
    <cellStyle name="20% - Accent3 3 2" xfId="139"/>
    <cellStyle name="20% - Accent3 3 2 2" xfId="140"/>
    <cellStyle name="20% - Accent3 3 3" xfId="141"/>
    <cellStyle name="20% - Accent3 3 3 2" xfId="142"/>
    <cellStyle name="20% - Accent3 3 4" xfId="143"/>
    <cellStyle name="20% - Accent3 3 5" xfId="144"/>
    <cellStyle name="20% - Accent3 3 6" xfId="145"/>
    <cellStyle name="20% - Accent3 3 7" xfId="146"/>
    <cellStyle name="20% - Accent3 3 8" xfId="147"/>
    <cellStyle name="20% - Accent3 3 9" xfId="148"/>
    <cellStyle name="20% - Accent3 4" xfId="149"/>
    <cellStyle name="20% - Accent3 4 2" xfId="150"/>
    <cellStyle name="20% - Accent3 5" xfId="151"/>
    <cellStyle name="20% - Accent3 5 2" xfId="152"/>
    <cellStyle name="20% - Accent3 6" xfId="153"/>
    <cellStyle name="20% - Accent3 6 2" xfId="154"/>
    <cellStyle name="20% - Accent3 7" xfId="155"/>
    <cellStyle name="20% - Accent3 8" xfId="156"/>
    <cellStyle name="20% - Accent3 9" xfId="157"/>
    <cellStyle name="20% - Accent4 10" xfId="158"/>
    <cellStyle name="20% - Accent4 11" xfId="159"/>
    <cellStyle name="20% - Accent4 12" xfId="160"/>
    <cellStyle name="20% - Accent4 2" xfId="6"/>
    <cellStyle name="20% - Accent4 2 2" xfId="161"/>
    <cellStyle name="20% - Accent4 2 2 2" xfId="162"/>
    <cellStyle name="20% - Accent4 2 3" xfId="163"/>
    <cellStyle name="20% - Accent4 2 3 2" xfId="164"/>
    <cellStyle name="20% - Accent4 2 4" xfId="165"/>
    <cellStyle name="20% - Accent4 2 5" xfId="166"/>
    <cellStyle name="20% - Accent4 2 6" xfId="167"/>
    <cellStyle name="20% - Accent4 2 7" xfId="168"/>
    <cellStyle name="20% - Accent4 2 8" xfId="169"/>
    <cellStyle name="20% - Accent4 2 9" xfId="170"/>
    <cellStyle name="20% - Accent4 3" xfId="171"/>
    <cellStyle name="20% - Accent4 3 2" xfId="172"/>
    <cellStyle name="20% - Accent4 3 2 2" xfId="173"/>
    <cellStyle name="20% - Accent4 3 3" xfId="174"/>
    <cellStyle name="20% - Accent4 3 3 2" xfId="175"/>
    <cellStyle name="20% - Accent4 3 4" xfId="176"/>
    <cellStyle name="20% - Accent4 3 5" xfId="177"/>
    <cellStyle name="20% - Accent4 3 6" xfId="178"/>
    <cellStyle name="20% - Accent4 3 7" xfId="179"/>
    <cellStyle name="20% - Accent4 3 8" xfId="180"/>
    <cellStyle name="20% - Accent4 3 9" xfId="181"/>
    <cellStyle name="20% - Accent4 4" xfId="182"/>
    <cellStyle name="20% - Accent4 4 2" xfId="183"/>
    <cellStyle name="20% - Accent4 5" xfId="184"/>
    <cellStyle name="20% - Accent4 5 2" xfId="185"/>
    <cellStyle name="20% - Accent4 6" xfId="186"/>
    <cellStyle name="20% - Accent4 6 2" xfId="187"/>
    <cellStyle name="20% - Accent4 7" xfId="188"/>
    <cellStyle name="20% - Accent4 8" xfId="189"/>
    <cellStyle name="20% - Accent4 9" xfId="190"/>
    <cellStyle name="20% - Accent5 10" xfId="191"/>
    <cellStyle name="20% - Accent5 11" xfId="192"/>
    <cellStyle name="20% - Accent5 12" xfId="193"/>
    <cellStyle name="20% - Accent5 2" xfId="7"/>
    <cellStyle name="20% - Accent5 2 2" xfId="194"/>
    <cellStyle name="20% - Accent5 2 2 2" xfId="195"/>
    <cellStyle name="20% - Accent5 2 3" xfId="196"/>
    <cellStyle name="20% - Accent5 2 3 2" xfId="197"/>
    <cellStyle name="20% - Accent5 2 4" xfId="198"/>
    <cellStyle name="20% - Accent5 2 5" xfId="199"/>
    <cellStyle name="20% - Accent5 2 6" xfId="200"/>
    <cellStyle name="20% - Accent5 2 7" xfId="201"/>
    <cellStyle name="20% - Accent5 2 8" xfId="202"/>
    <cellStyle name="20% - Accent5 2 9" xfId="203"/>
    <cellStyle name="20% - Accent5 3" xfId="204"/>
    <cellStyle name="20% - Accent5 3 2" xfId="205"/>
    <cellStyle name="20% - Accent5 3 2 2" xfId="206"/>
    <cellStyle name="20% - Accent5 3 3" xfId="207"/>
    <cellStyle name="20% - Accent5 3 3 2" xfId="208"/>
    <cellStyle name="20% - Accent5 3 4" xfId="209"/>
    <cellStyle name="20% - Accent5 3 5" xfId="210"/>
    <cellStyle name="20% - Accent5 3 6" xfId="211"/>
    <cellStyle name="20% - Accent5 3 7" xfId="212"/>
    <cellStyle name="20% - Accent5 3 8" xfId="213"/>
    <cellStyle name="20% - Accent5 3 9" xfId="214"/>
    <cellStyle name="20% - Accent5 4" xfId="215"/>
    <cellStyle name="20% - Accent5 4 2" xfId="216"/>
    <cellStyle name="20% - Accent5 5" xfId="217"/>
    <cellStyle name="20% - Accent5 5 2" xfId="218"/>
    <cellStyle name="20% - Accent5 6" xfId="219"/>
    <cellStyle name="20% - Accent5 6 2" xfId="220"/>
    <cellStyle name="20% - Accent5 7" xfId="221"/>
    <cellStyle name="20% - Accent5 8" xfId="222"/>
    <cellStyle name="20% - Accent5 9" xfId="223"/>
    <cellStyle name="20% - Accent6 10" xfId="224"/>
    <cellStyle name="20% - Accent6 11" xfId="225"/>
    <cellStyle name="20% - Accent6 12" xfId="226"/>
    <cellStyle name="20% - Accent6 2" xfId="8"/>
    <cellStyle name="20% - Accent6 2 2" xfId="227"/>
    <cellStyle name="20% - Accent6 2 2 2" xfId="228"/>
    <cellStyle name="20% - Accent6 2 3" xfId="229"/>
    <cellStyle name="20% - Accent6 2 3 2" xfId="230"/>
    <cellStyle name="20% - Accent6 2 4" xfId="231"/>
    <cellStyle name="20% - Accent6 2 5" xfId="232"/>
    <cellStyle name="20% - Accent6 2 6" xfId="233"/>
    <cellStyle name="20% - Accent6 2 7" xfId="234"/>
    <cellStyle name="20% - Accent6 2 8" xfId="235"/>
    <cellStyle name="20% - Accent6 2 9" xfId="236"/>
    <cellStyle name="20% - Accent6 3" xfId="237"/>
    <cellStyle name="20% - Accent6 3 2" xfId="238"/>
    <cellStyle name="20% - Accent6 3 2 2" xfId="239"/>
    <cellStyle name="20% - Accent6 3 3" xfId="240"/>
    <cellStyle name="20% - Accent6 3 3 2" xfId="241"/>
    <cellStyle name="20% - Accent6 3 4" xfId="242"/>
    <cellStyle name="20% - Accent6 3 5" xfId="243"/>
    <cellStyle name="20% - Accent6 3 6" xfId="244"/>
    <cellStyle name="20% - Accent6 3 7" xfId="245"/>
    <cellStyle name="20% - Accent6 3 8" xfId="246"/>
    <cellStyle name="20% - Accent6 3 9" xfId="247"/>
    <cellStyle name="20% - Accent6 4" xfId="248"/>
    <cellStyle name="20% - Accent6 4 2" xfId="249"/>
    <cellStyle name="20% - Accent6 5" xfId="250"/>
    <cellStyle name="20% - Accent6 5 2" xfId="251"/>
    <cellStyle name="20% - Accent6 6" xfId="252"/>
    <cellStyle name="20% - Accent6 6 2" xfId="253"/>
    <cellStyle name="20% - Accent6 7" xfId="254"/>
    <cellStyle name="20% - Accent6 8" xfId="255"/>
    <cellStyle name="20% - Accent6 9" xfId="256"/>
    <cellStyle name="40% - Accent1 10" xfId="257"/>
    <cellStyle name="40% - Accent1 11" xfId="258"/>
    <cellStyle name="40% - Accent1 12" xfId="259"/>
    <cellStyle name="40% - Accent1 2" xfId="9"/>
    <cellStyle name="40% - Accent1 2 2" xfId="260"/>
    <cellStyle name="40% - Accent1 2 2 2" xfId="261"/>
    <cellStyle name="40% - Accent1 2 3" xfId="262"/>
    <cellStyle name="40% - Accent1 2 3 2" xfId="263"/>
    <cellStyle name="40% - Accent1 2 4" xfId="264"/>
    <cellStyle name="40% - Accent1 2 5" xfId="265"/>
    <cellStyle name="40% - Accent1 2 6" xfId="266"/>
    <cellStyle name="40% - Accent1 2 7" xfId="267"/>
    <cellStyle name="40% - Accent1 2 8" xfId="268"/>
    <cellStyle name="40% - Accent1 2 9" xfId="269"/>
    <cellStyle name="40% - Accent1 3" xfId="270"/>
    <cellStyle name="40% - Accent1 3 2" xfId="271"/>
    <cellStyle name="40% - Accent1 3 2 2" xfId="272"/>
    <cellStyle name="40% - Accent1 3 3" xfId="273"/>
    <cellStyle name="40% - Accent1 3 3 2" xfId="274"/>
    <cellStyle name="40% - Accent1 3 4" xfId="275"/>
    <cellStyle name="40% - Accent1 3 5" xfId="276"/>
    <cellStyle name="40% - Accent1 3 6" xfId="277"/>
    <cellStyle name="40% - Accent1 3 7" xfId="278"/>
    <cellStyle name="40% - Accent1 3 8" xfId="279"/>
    <cellStyle name="40% - Accent1 3 9" xfId="280"/>
    <cellStyle name="40% - Accent1 4" xfId="281"/>
    <cellStyle name="40% - Accent1 4 2" xfId="282"/>
    <cellStyle name="40% - Accent1 5" xfId="283"/>
    <cellStyle name="40% - Accent1 5 2" xfId="284"/>
    <cellStyle name="40% - Accent1 6" xfId="285"/>
    <cellStyle name="40% - Accent1 6 2" xfId="286"/>
    <cellStyle name="40% - Accent1 7" xfId="287"/>
    <cellStyle name="40% - Accent1 8" xfId="288"/>
    <cellStyle name="40% - Accent1 9" xfId="289"/>
    <cellStyle name="40% - Accent2 10" xfId="290"/>
    <cellStyle name="40% - Accent2 11" xfId="291"/>
    <cellStyle name="40% - Accent2 12" xfId="292"/>
    <cellStyle name="40% - Accent2 2" xfId="10"/>
    <cellStyle name="40% - Accent2 2 2" xfId="293"/>
    <cellStyle name="40% - Accent2 2 2 2" xfId="294"/>
    <cellStyle name="40% - Accent2 2 3" xfId="295"/>
    <cellStyle name="40% - Accent2 2 3 2" xfId="296"/>
    <cellStyle name="40% - Accent2 2 4" xfId="297"/>
    <cellStyle name="40% - Accent2 2 5" xfId="298"/>
    <cellStyle name="40% - Accent2 2 6" xfId="299"/>
    <cellStyle name="40% - Accent2 2 7" xfId="300"/>
    <cellStyle name="40% - Accent2 2 8" xfId="301"/>
    <cellStyle name="40% - Accent2 2 9" xfId="302"/>
    <cellStyle name="40% - Accent2 3" xfId="303"/>
    <cellStyle name="40% - Accent2 3 2" xfId="304"/>
    <cellStyle name="40% - Accent2 3 2 2" xfId="305"/>
    <cellStyle name="40% - Accent2 3 3" xfId="306"/>
    <cellStyle name="40% - Accent2 3 3 2" xfId="307"/>
    <cellStyle name="40% - Accent2 3 4" xfId="308"/>
    <cellStyle name="40% - Accent2 3 5" xfId="309"/>
    <cellStyle name="40% - Accent2 3 6" xfId="310"/>
    <cellStyle name="40% - Accent2 3 7" xfId="311"/>
    <cellStyle name="40% - Accent2 3 8" xfId="312"/>
    <cellStyle name="40% - Accent2 3 9" xfId="313"/>
    <cellStyle name="40% - Accent2 4" xfId="314"/>
    <cellStyle name="40% - Accent2 4 2" xfId="315"/>
    <cellStyle name="40% - Accent2 5" xfId="316"/>
    <cellStyle name="40% - Accent2 5 2" xfId="317"/>
    <cellStyle name="40% - Accent2 6" xfId="318"/>
    <cellStyle name="40% - Accent2 6 2" xfId="319"/>
    <cellStyle name="40% - Accent2 7" xfId="320"/>
    <cellStyle name="40% - Accent2 8" xfId="321"/>
    <cellStyle name="40% - Accent2 9" xfId="322"/>
    <cellStyle name="40% - Accent3 10" xfId="323"/>
    <cellStyle name="40% - Accent3 11" xfId="324"/>
    <cellStyle name="40% - Accent3 12" xfId="325"/>
    <cellStyle name="40% - Accent3 2" xfId="11"/>
    <cellStyle name="40% - Accent3 2 2" xfId="326"/>
    <cellStyle name="40% - Accent3 2 2 2" xfId="327"/>
    <cellStyle name="40% - Accent3 2 3" xfId="328"/>
    <cellStyle name="40% - Accent3 2 3 2" xfId="329"/>
    <cellStyle name="40% - Accent3 2 4" xfId="330"/>
    <cellStyle name="40% - Accent3 2 5" xfId="331"/>
    <cellStyle name="40% - Accent3 2 6" xfId="332"/>
    <cellStyle name="40% - Accent3 2 7" xfId="333"/>
    <cellStyle name="40% - Accent3 2 8" xfId="334"/>
    <cellStyle name="40% - Accent3 2 9" xfId="335"/>
    <cellStyle name="40% - Accent3 3" xfId="336"/>
    <cellStyle name="40% - Accent3 3 2" xfId="337"/>
    <cellStyle name="40% - Accent3 3 2 2" xfId="338"/>
    <cellStyle name="40% - Accent3 3 3" xfId="339"/>
    <cellStyle name="40% - Accent3 3 3 2" xfId="340"/>
    <cellStyle name="40% - Accent3 3 4" xfId="341"/>
    <cellStyle name="40% - Accent3 3 5" xfId="342"/>
    <cellStyle name="40% - Accent3 3 6" xfId="343"/>
    <cellStyle name="40% - Accent3 3 7" xfId="344"/>
    <cellStyle name="40% - Accent3 3 8" xfId="345"/>
    <cellStyle name="40% - Accent3 3 9" xfId="346"/>
    <cellStyle name="40% - Accent3 4" xfId="347"/>
    <cellStyle name="40% - Accent3 4 2" xfId="348"/>
    <cellStyle name="40% - Accent3 5" xfId="349"/>
    <cellStyle name="40% - Accent3 5 2" xfId="350"/>
    <cellStyle name="40% - Accent3 6" xfId="351"/>
    <cellStyle name="40% - Accent3 6 2" xfId="352"/>
    <cellStyle name="40% - Accent3 7" xfId="353"/>
    <cellStyle name="40% - Accent3 8" xfId="354"/>
    <cellStyle name="40% - Accent3 9" xfId="355"/>
    <cellStyle name="40% - Accent4 10" xfId="356"/>
    <cellStyle name="40% - Accent4 11" xfId="357"/>
    <cellStyle name="40% - Accent4 12" xfId="358"/>
    <cellStyle name="40% - Accent4 2" xfId="12"/>
    <cellStyle name="40% - Accent4 2 2" xfId="359"/>
    <cellStyle name="40% - Accent4 2 2 2" xfId="360"/>
    <cellStyle name="40% - Accent4 2 3" xfId="361"/>
    <cellStyle name="40% - Accent4 2 3 2" xfId="362"/>
    <cellStyle name="40% - Accent4 2 4" xfId="363"/>
    <cellStyle name="40% - Accent4 2 5" xfId="364"/>
    <cellStyle name="40% - Accent4 2 6" xfId="365"/>
    <cellStyle name="40% - Accent4 2 7" xfId="366"/>
    <cellStyle name="40% - Accent4 2 8" xfId="367"/>
    <cellStyle name="40% - Accent4 2 9" xfId="368"/>
    <cellStyle name="40% - Accent4 3" xfId="369"/>
    <cellStyle name="40% - Accent4 3 2" xfId="370"/>
    <cellStyle name="40% - Accent4 3 2 2" xfId="371"/>
    <cellStyle name="40% - Accent4 3 3" xfId="372"/>
    <cellStyle name="40% - Accent4 3 3 2" xfId="373"/>
    <cellStyle name="40% - Accent4 3 4" xfId="374"/>
    <cellStyle name="40% - Accent4 3 5" xfId="375"/>
    <cellStyle name="40% - Accent4 3 6" xfId="376"/>
    <cellStyle name="40% - Accent4 3 7" xfId="377"/>
    <cellStyle name="40% - Accent4 3 8" xfId="378"/>
    <cellStyle name="40% - Accent4 3 9" xfId="379"/>
    <cellStyle name="40% - Accent4 4" xfId="380"/>
    <cellStyle name="40% - Accent4 4 2" xfId="381"/>
    <cellStyle name="40% - Accent4 5" xfId="382"/>
    <cellStyle name="40% - Accent4 5 2" xfId="383"/>
    <cellStyle name="40% - Accent4 6" xfId="384"/>
    <cellStyle name="40% - Accent4 6 2" xfId="385"/>
    <cellStyle name="40% - Accent4 7" xfId="386"/>
    <cellStyle name="40% - Accent4 8" xfId="387"/>
    <cellStyle name="40% - Accent4 9" xfId="388"/>
    <cellStyle name="40% - Accent5 10" xfId="389"/>
    <cellStyle name="40% - Accent5 11" xfId="390"/>
    <cellStyle name="40% - Accent5 12" xfId="391"/>
    <cellStyle name="40% - Accent5 2" xfId="13"/>
    <cellStyle name="40% - Accent5 2 2" xfId="392"/>
    <cellStyle name="40% - Accent5 2 2 2" xfId="393"/>
    <cellStyle name="40% - Accent5 2 3" xfId="394"/>
    <cellStyle name="40% - Accent5 2 3 2" xfId="395"/>
    <cellStyle name="40% - Accent5 2 4" xfId="396"/>
    <cellStyle name="40% - Accent5 2 5" xfId="397"/>
    <cellStyle name="40% - Accent5 2 6" xfId="398"/>
    <cellStyle name="40% - Accent5 2 7" xfId="399"/>
    <cellStyle name="40% - Accent5 2 8" xfId="400"/>
    <cellStyle name="40% - Accent5 2 9" xfId="401"/>
    <cellStyle name="40% - Accent5 3" xfId="402"/>
    <cellStyle name="40% - Accent5 3 2" xfId="403"/>
    <cellStyle name="40% - Accent5 3 2 2" xfId="404"/>
    <cellStyle name="40% - Accent5 3 3" xfId="405"/>
    <cellStyle name="40% - Accent5 3 3 2" xfId="406"/>
    <cellStyle name="40% - Accent5 3 4" xfId="407"/>
    <cellStyle name="40% - Accent5 3 5" xfId="408"/>
    <cellStyle name="40% - Accent5 3 6" xfId="409"/>
    <cellStyle name="40% - Accent5 3 7" xfId="410"/>
    <cellStyle name="40% - Accent5 3 8" xfId="411"/>
    <cellStyle name="40% - Accent5 3 9" xfId="412"/>
    <cellStyle name="40% - Accent5 4" xfId="413"/>
    <cellStyle name="40% - Accent5 4 2" xfId="414"/>
    <cellStyle name="40% - Accent5 5" xfId="415"/>
    <cellStyle name="40% - Accent5 5 2" xfId="416"/>
    <cellStyle name="40% - Accent5 6" xfId="417"/>
    <cellStyle name="40% - Accent5 6 2" xfId="418"/>
    <cellStyle name="40% - Accent5 7" xfId="419"/>
    <cellStyle name="40% - Accent5 8" xfId="420"/>
    <cellStyle name="40% - Accent5 9" xfId="421"/>
    <cellStyle name="40% - Accent6 10" xfId="422"/>
    <cellStyle name="40% - Accent6 11" xfId="423"/>
    <cellStyle name="40% - Accent6 12" xfId="424"/>
    <cellStyle name="40% - Accent6 2" xfId="14"/>
    <cellStyle name="40% - Accent6 2 2" xfId="425"/>
    <cellStyle name="40% - Accent6 2 2 2" xfId="426"/>
    <cellStyle name="40% - Accent6 2 3" xfId="427"/>
    <cellStyle name="40% - Accent6 2 3 2" xfId="428"/>
    <cellStyle name="40% - Accent6 2 4" xfId="429"/>
    <cellStyle name="40% - Accent6 2 5" xfId="430"/>
    <cellStyle name="40% - Accent6 2 6" xfId="431"/>
    <cellStyle name="40% - Accent6 2 7" xfId="432"/>
    <cellStyle name="40% - Accent6 2 8" xfId="433"/>
    <cellStyle name="40% - Accent6 2 9" xfId="434"/>
    <cellStyle name="40% - Accent6 3" xfId="435"/>
    <cellStyle name="40% - Accent6 3 2" xfId="436"/>
    <cellStyle name="40% - Accent6 3 2 2" xfId="437"/>
    <cellStyle name="40% - Accent6 3 3" xfId="438"/>
    <cellStyle name="40% - Accent6 3 3 2" xfId="439"/>
    <cellStyle name="40% - Accent6 3 4" xfId="440"/>
    <cellStyle name="40% - Accent6 3 5" xfId="441"/>
    <cellStyle name="40% - Accent6 3 6" xfId="442"/>
    <cellStyle name="40% - Accent6 3 7" xfId="443"/>
    <cellStyle name="40% - Accent6 3 8" xfId="444"/>
    <cellStyle name="40% - Accent6 3 9" xfId="445"/>
    <cellStyle name="40% - Accent6 4" xfId="446"/>
    <cellStyle name="40% - Accent6 4 2" xfId="447"/>
    <cellStyle name="40% - Accent6 5" xfId="448"/>
    <cellStyle name="40% - Accent6 5 2" xfId="449"/>
    <cellStyle name="40% - Accent6 6" xfId="450"/>
    <cellStyle name="40% - Accent6 6 2" xfId="451"/>
    <cellStyle name="40% - Accent6 7" xfId="452"/>
    <cellStyle name="40% - Accent6 8" xfId="453"/>
    <cellStyle name="40% - Accent6 9" xfId="45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Bad 3" xfId="28"/>
    <cellStyle name="Calculation 2" xfId="29"/>
    <cellStyle name="Check Cell 2" xfId="30"/>
    <cellStyle name="Comma 2" xfId="455"/>
    <cellStyle name="Comma 2 2" xfId="456"/>
    <cellStyle name="Comma 2 3" xfId="457"/>
    <cellStyle name="Comma 2 4" xfId="458"/>
    <cellStyle name="Comma 2 5" xfId="459"/>
    <cellStyle name="Comma 2 6" xfId="460"/>
    <cellStyle name="Comma 2 7" xfId="461"/>
    <cellStyle name="Comma 3" xfId="462"/>
    <cellStyle name="Comma 3 2" xfId="463"/>
    <cellStyle name="Comma 4" xfId="464"/>
    <cellStyle name="Comma 5" xfId="465"/>
    <cellStyle name="Comma 6" xfId="466"/>
    <cellStyle name="Currency 2" xfId="467"/>
    <cellStyle name="Currency 2 2" xfId="468"/>
    <cellStyle name="Currency 3" xfId="469"/>
    <cellStyle name="Default" xfId="470"/>
    <cellStyle name="Explanatory Text 2" xfId="31"/>
    <cellStyle name="Good 2" xfId="32"/>
    <cellStyle name="Heading 1 2" xfId="33"/>
    <cellStyle name="Heading 2 2" xfId="34"/>
    <cellStyle name="Heading 3 2" xfId="35"/>
    <cellStyle name="Heading 4 2" xfId="36"/>
    <cellStyle name="Hyperlink" xfId="56"/>
    <cellStyle name="Hyperlink 2" xfId="471"/>
    <cellStyle name="Hyperlink 3" xfId="472"/>
    <cellStyle name="Input 2" xfId="37"/>
    <cellStyle name="Linked Cell 2" xfId="38"/>
    <cellStyle name="Neutral 2" xfId="39"/>
    <cellStyle name="Normal 10" xfId="473"/>
    <cellStyle name="Normal 10 2" xfId="474"/>
    <cellStyle name="Normal 10 3" xfId="475"/>
    <cellStyle name="Normal 11" xfId="476"/>
    <cellStyle name="Normal 11 2" xfId="477"/>
    <cellStyle name="Normal 12" xfId="478"/>
    <cellStyle name="Normal 12 2" xfId="479"/>
    <cellStyle name="Normal 13" xfId="480"/>
    <cellStyle name="Normal 13 2" xfId="481"/>
    <cellStyle name="Normal 14" xfId="482"/>
    <cellStyle name="Normal 15" xfId="483"/>
    <cellStyle name="Normal 16" xfId="484"/>
    <cellStyle name="Normal 17" xfId="485"/>
    <cellStyle name="Normal 18" xfId="486"/>
    <cellStyle name="Normal 19" xfId="487"/>
    <cellStyle name="Normal 2" xfId="40"/>
    <cellStyle name="Normal 2 10" xfId="488"/>
    <cellStyle name="Normal 2 11" xfId="489"/>
    <cellStyle name="Normal 2 12" xfId="490"/>
    <cellStyle name="Normal 2 13" xfId="491"/>
    <cellStyle name="Normal 2 2" xfId="41"/>
    <cellStyle name="Normal 2 2 2" xfId="492"/>
    <cellStyle name="Normal 2 2 3" xfId="493"/>
    <cellStyle name="Normal 2 3" xfId="494"/>
    <cellStyle name="Normal 2 3 2" xfId="495"/>
    <cellStyle name="Normal 2 3 2 2" xfId="496"/>
    <cellStyle name="Normal 2 3 2 3" xfId="497"/>
    <cellStyle name="Normal 2 3 3" xfId="498"/>
    <cellStyle name="Normal 2 3 4" xfId="499"/>
    <cellStyle name="Normal 2 4" xfId="500"/>
    <cellStyle name="Normal 2 4 2" xfId="501"/>
    <cellStyle name="Normal 2 4 3" xfId="502"/>
    <cellStyle name="Normal 2 5" xfId="503"/>
    <cellStyle name="Normal 2 5 2" xfId="504"/>
    <cellStyle name="Normal 2 6" xfId="505"/>
    <cellStyle name="Normal 2 6 2" xfId="506"/>
    <cellStyle name="Normal 2 7" xfId="507"/>
    <cellStyle name="Normal 2 7 2" xfId="508"/>
    <cellStyle name="Normal 2 8" xfId="509"/>
    <cellStyle name="Normal 2 9" xfId="510"/>
    <cellStyle name="Normal 20" xfId="511"/>
    <cellStyle name="Normal 21" xfId="512"/>
    <cellStyle name="Normal 21 2" xfId="513"/>
    <cellStyle name="Normal 21 3" xfId="514"/>
    <cellStyle name="Normal 22" xfId="515"/>
    <cellStyle name="Normal 23" xfId="516"/>
    <cellStyle name="Normal 3" xfId="42"/>
    <cellStyle name="Normal 3 10" xfId="517"/>
    <cellStyle name="Normal 3 11" xfId="518"/>
    <cellStyle name="Normal 3 12" xfId="519"/>
    <cellStyle name="Normal 3 13" xfId="520"/>
    <cellStyle name="Normal 3 2" xfId="521"/>
    <cellStyle name="Normal 3 2 2" xfId="522"/>
    <cellStyle name="Normal 3 2 2 2" xfId="523"/>
    <cellStyle name="Normal 3 2 2 3" xfId="524"/>
    <cellStyle name="Normal 3 2 3" xfId="525"/>
    <cellStyle name="Normal 3 2 4" xfId="526"/>
    <cellStyle name="Normal 3 3" xfId="527"/>
    <cellStyle name="Normal 3 3 2" xfId="528"/>
    <cellStyle name="Normal 3 3 3" xfId="529"/>
    <cellStyle name="Normal 3 4" xfId="530"/>
    <cellStyle name="Normal 3 4 2" xfId="531"/>
    <cellStyle name="Normal 3 5" xfId="532"/>
    <cellStyle name="Normal 3 5 2" xfId="533"/>
    <cellStyle name="Normal 3 6" xfId="534"/>
    <cellStyle name="Normal 3 7" xfId="535"/>
    <cellStyle name="Normal 3 7 2" xfId="536"/>
    <cellStyle name="Normal 3 8" xfId="537"/>
    <cellStyle name="Normal 3 9" xfId="538"/>
    <cellStyle name="Normal 3_Quantum Prelim DS Values 6-28-12 with formulas" xfId="539"/>
    <cellStyle name="Normal 4" xfId="43"/>
    <cellStyle name="Normal 4 10" xfId="540"/>
    <cellStyle name="Normal 4 11" xfId="541"/>
    <cellStyle name="Normal 4 12" xfId="542"/>
    <cellStyle name="Normal 4 13" xfId="543"/>
    <cellStyle name="Normal 4 2" xfId="544"/>
    <cellStyle name="Normal 4 2 2" xfId="545"/>
    <cellStyle name="Normal 4 2 2 2" xfId="546"/>
    <cellStyle name="Normal 4 2 3" xfId="547"/>
    <cellStyle name="Normal 4 2 3 2" xfId="548"/>
    <cellStyle name="Normal 4 2 4" xfId="549"/>
    <cellStyle name="Normal 4 2 5" xfId="550"/>
    <cellStyle name="Normal 4 2 6" xfId="551"/>
    <cellStyle name="Normal 4 2 7" xfId="552"/>
    <cellStyle name="Normal 4 2 8" xfId="553"/>
    <cellStyle name="Normal 4 2 9" xfId="554"/>
    <cellStyle name="Normal 4 3" xfId="555"/>
    <cellStyle name="Normal 4 3 2" xfId="556"/>
    <cellStyle name="Normal 4 3 2 2" xfId="557"/>
    <cellStyle name="Normal 4 3 3" xfId="558"/>
    <cellStyle name="Normal 4 3 4" xfId="559"/>
    <cellStyle name="Normal 4 3 5" xfId="560"/>
    <cellStyle name="Normal 4 3 6" xfId="561"/>
    <cellStyle name="Normal 4 3 7" xfId="562"/>
    <cellStyle name="Normal 4 3 8" xfId="563"/>
    <cellStyle name="Normal 4 4" xfId="564"/>
    <cellStyle name="Normal 4 4 2" xfId="565"/>
    <cellStyle name="Normal 4 4 2 2" xfId="566"/>
    <cellStyle name="Normal 4 4 3" xfId="567"/>
    <cellStyle name="Normal 4 4 4" xfId="568"/>
    <cellStyle name="Normal 4 4 5" xfId="569"/>
    <cellStyle name="Normal 4 4 6" xfId="570"/>
    <cellStyle name="Normal 4 4 7" xfId="571"/>
    <cellStyle name="Normal 4 4 8" xfId="572"/>
    <cellStyle name="Normal 4 5" xfId="573"/>
    <cellStyle name="Normal 4 5 2" xfId="574"/>
    <cellStyle name="Normal 4 6" xfId="575"/>
    <cellStyle name="Normal 4 6 2" xfId="576"/>
    <cellStyle name="Normal 4 7" xfId="577"/>
    <cellStyle name="Normal 4 7 2" xfId="578"/>
    <cellStyle name="Normal 4 8" xfId="579"/>
    <cellStyle name="Normal 4 9" xfId="580"/>
    <cellStyle name="Normal 5" xfId="44"/>
    <cellStyle name="Normal 5 2" xfId="581"/>
    <cellStyle name="Normal 5 2 2" xfId="582"/>
    <cellStyle name="Normal 5 2 3" xfId="583"/>
    <cellStyle name="Normal 5 2 3 2" xfId="584"/>
    <cellStyle name="Normal 5 2 4" xfId="585"/>
    <cellStyle name="Normal 5 2 5" xfId="586"/>
    <cellStyle name="Normal 5 2 6" xfId="587"/>
    <cellStyle name="Normal 5 2 7" xfId="588"/>
    <cellStyle name="Normal 5 2 8" xfId="589"/>
    <cellStyle name="Normal 5 3" xfId="590"/>
    <cellStyle name="Normal 5 3 2" xfId="591"/>
    <cellStyle name="Normal 5 3 2 2" xfId="592"/>
    <cellStyle name="Normal 5 3 3" xfId="593"/>
    <cellStyle name="Normal 5 3 4" xfId="594"/>
    <cellStyle name="Normal 5 3 5" xfId="595"/>
    <cellStyle name="Normal 5 3 6" xfId="596"/>
    <cellStyle name="Normal 5 3 7" xfId="597"/>
    <cellStyle name="Normal 5 3 8" xfId="598"/>
    <cellStyle name="Normal 5 4" xfId="599"/>
    <cellStyle name="Normal 5 4 2" xfId="600"/>
    <cellStyle name="Normal 5 4 2 2" xfId="601"/>
    <cellStyle name="Normal 5 4 3" xfId="602"/>
    <cellStyle name="Normal 5 4 4" xfId="603"/>
    <cellStyle name="Normal 5 4 5" xfId="604"/>
    <cellStyle name="Normal 5 4 6" xfId="605"/>
    <cellStyle name="Normal 5 4 7" xfId="606"/>
    <cellStyle name="Normal 5 4 8" xfId="607"/>
    <cellStyle name="Normal 5 5" xfId="608"/>
    <cellStyle name="Normal 5 5 2" xfId="609"/>
    <cellStyle name="Normal 5 5 3" xfId="610"/>
    <cellStyle name="Normal 5 6" xfId="611"/>
    <cellStyle name="Normal 5 6 2" xfId="612"/>
    <cellStyle name="Normal 5 7" xfId="613"/>
    <cellStyle name="Normal 5 7 2" xfId="614"/>
    <cellStyle name="Normal 5 8" xfId="615"/>
    <cellStyle name="Normal 6" xfId="57"/>
    <cellStyle name="Normal 6 10" xfId="616"/>
    <cellStyle name="Normal 6 2" xfId="617"/>
    <cellStyle name="Normal 6 2 2" xfId="618"/>
    <cellStyle name="Normal 6 2 3" xfId="619"/>
    <cellStyle name="Normal 6 3" xfId="620"/>
    <cellStyle name="Normal 6 3 2" xfId="621"/>
    <cellStyle name="Normal 6 3 3" xfId="622"/>
    <cellStyle name="Normal 6 3 4" xfId="623"/>
    <cellStyle name="Normal 6 4" xfId="624"/>
    <cellStyle name="Normal 6 5" xfId="625"/>
    <cellStyle name="Normal 6 6" xfId="626"/>
    <cellStyle name="Normal 6 7" xfId="627"/>
    <cellStyle name="Normal 6 8" xfId="628"/>
    <cellStyle name="Normal 6 9" xfId="629"/>
    <cellStyle name="Normal 7" xfId="58"/>
    <cellStyle name="Normal 7 2" xfId="630"/>
    <cellStyle name="Normal 7 3" xfId="631"/>
    <cellStyle name="Normal 7 4" xfId="632"/>
    <cellStyle name="Normal 7 5" xfId="633"/>
    <cellStyle name="Normal 7 6" xfId="634"/>
    <cellStyle name="Normal 7 7" xfId="635"/>
    <cellStyle name="Normal 8" xfId="636"/>
    <cellStyle name="Normal 8 2" xfId="637"/>
    <cellStyle name="Normal 9" xfId="638"/>
    <cellStyle name="Normal 9 2" xfId="639"/>
    <cellStyle name="Normal 9 3" xfId="640"/>
    <cellStyle name="Note 10" xfId="641"/>
    <cellStyle name="Note 2" xfId="45"/>
    <cellStyle name="Note 2 10" xfId="642"/>
    <cellStyle name="Note 2 2" xfId="643"/>
    <cellStyle name="Note 2 2 2" xfId="644"/>
    <cellStyle name="Note 2 2 3" xfId="645"/>
    <cellStyle name="Note 2 3" xfId="646"/>
    <cellStyle name="Note 2 4" xfId="647"/>
    <cellStyle name="Note 2 4 2" xfId="648"/>
    <cellStyle name="Note 2 5" xfId="649"/>
    <cellStyle name="Note 2 6" xfId="650"/>
    <cellStyle name="Note 2 7" xfId="651"/>
    <cellStyle name="Note 2 8" xfId="652"/>
    <cellStyle name="Note 2 9" xfId="653"/>
    <cellStyle name="Note 3" xfId="46"/>
    <cellStyle name="Note 3 2" xfId="654"/>
    <cellStyle name="Note 3 2 2" xfId="655"/>
    <cellStyle name="Note 3 3" xfId="656"/>
    <cellStyle name="Note 3 3 2" xfId="657"/>
    <cellStyle name="Note 3 4" xfId="658"/>
    <cellStyle name="Note 3 5" xfId="659"/>
    <cellStyle name="Note 3 6" xfId="660"/>
    <cellStyle name="Note 3 7" xfId="661"/>
    <cellStyle name="Note 3 8" xfId="662"/>
    <cellStyle name="Note 3 9" xfId="663"/>
    <cellStyle name="Note 4" xfId="664"/>
    <cellStyle name="Note 4 2" xfId="665"/>
    <cellStyle name="Note 4 2 2" xfId="666"/>
    <cellStyle name="Note 4 3" xfId="667"/>
    <cellStyle name="Note 4 3 2" xfId="668"/>
    <cellStyle name="Note 4 4" xfId="669"/>
    <cellStyle name="Note 4 5" xfId="670"/>
    <cellStyle name="Note 4 6" xfId="671"/>
    <cellStyle name="Note 4 7" xfId="672"/>
    <cellStyle name="Note 4 8" xfId="673"/>
    <cellStyle name="Note 4 9" xfId="674"/>
    <cellStyle name="Note 5" xfId="675"/>
    <cellStyle name="Note 5 2" xfId="676"/>
    <cellStyle name="Note 6" xfId="677"/>
    <cellStyle name="Note 7" xfId="678"/>
    <cellStyle name="Note 8" xfId="679"/>
    <cellStyle name="Note 9" xfId="680"/>
    <cellStyle name="Output 2" xfId="47"/>
    <cellStyle name="Percent 10" xfId="681"/>
    <cellStyle name="Percent 11" xfId="682"/>
    <cellStyle name="Percent 12" xfId="683"/>
    <cellStyle name="Percent 13" xfId="684"/>
    <cellStyle name="Percent 14" xfId="685"/>
    <cellStyle name="Percent 15" xfId="686"/>
    <cellStyle name="Percent 16" xfId="687"/>
    <cellStyle name="Percent 2" xfId="48"/>
    <cellStyle name="Percent 2 10" xfId="688"/>
    <cellStyle name="Percent 2 2" xfId="689"/>
    <cellStyle name="Percent 2 2 2" xfId="690"/>
    <cellStyle name="Percent 2 2 3" xfId="691"/>
    <cellStyle name="Percent 2 3" xfId="692"/>
    <cellStyle name="Percent 2 4" xfId="693"/>
    <cellStyle name="Percent 2 4 2" xfId="694"/>
    <cellStyle name="Percent 2 5" xfId="695"/>
    <cellStyle name="Percent 2 6" xfId="696"/>
    <cellStyle name="Percent 2 7" xfId="697"/>
    <cellStyle name="Percent 2 8" xfId="698"/>
    <cellStyle name="Percent 2 9" xfId="699"/>
    <cellStyle name="Percent 3" xfId="700"/>
    <cellStyle name="Percent 3 10" xfId="701"/>
    <cellStyle name="Percent 3 2" xfId="702"/>
    <cellStyle name="Percent 3 2 2" xfId="703"/>
    <cellStyle name="Percent 3 2 3" xfId="704"/>
    <cellStyle name="Percent 3 3" xfId="705"/>
    <cellStyle name="Percent 3 4" xfId="706"/>
    <cellStyle name="Percent 3 4 2" xfId="707"/>
    <cellStyle name="Percent 3 5" xfId="708"/>
    <cellStyle name="Percent 3 6" xfId="709"/>
    <cellStyle name="Percent 3 7" xfId="710"/>
    <cellStyle name="Percent 3 8" xfId="711"/>
    <cellStyle name="Percent 3 9" xfId="712"/>
    <cellStyle name="Percent 4" xfId="713"/>
    <cellStyle name="Percent 4 10" xfId="714"/>
    <cellStyle name="Percent 4 2" xfId="715"/>
    <cellStyle name="Percent 4 2 2" xfId="716"/>
    <cellStyle name="Percent 4 3" xfId="717"/>
    <cellStyle name="Percent 4 3 2" xfId="718"/>
    <cellStyle name="Percent 4 4" xfId="719"/>
    <cellStyle name="Percent 4 4 2" xfId="720"/>
    <cellStyle name="Percent 4 5" xfId="721"/>
    <cellStyle name="Percent 4 6" xfId="722"/>
    <cellStyle name="Percent 4 7" xfId="723"/>
    <cellStyle name="Percent 4 8" xfId="724"/>
    <cellStyle name="Percent 4 9" xfId="725"/>
    <cellStyle name="Percent 5" xfId="726"/>
    <cellStyle name="Percent 5 2" xfId="727"/>
    <cellStyle name="Percent 5 3" xfId="728"/>
    <cellStyle name="Percent 5 4" xfId="729"/>
    <cellStyle name="Percent 5 5" xfId="730"/>
    <cellStyle name="Percent 5 6" xfId="731"/>
    <cellStyle name="Percent 5 7" xfId="732"/>
    <cellStyle name="Percent 6" xfId="733"/>
    <cellStyle name="Percent 6 2" xfId="734"/>
    <cellStyle name="Percent 7" xfId="735"/>
    <cellStyle name="Percent 7 2" xfId="736"/>
    <cellStyle name="Percent 8" xfId="737"/>
    <cellStyle name="Percent 8 2" xfId="738"/>
    <cellStyle name="Percent 9" xfId="739"/>
    <cellStyle name="Style 1" xfId="740"/>
    <cellStyle name="Title 2" xfId="49"/>
    <cellStyle name="Total 2" xfId="50"/>
    <cellStyle name="Warning Text 2" xfId="51"/>
    <cellStyle name="一般 2" xfId="52"/>
    <cellStyle name="一般 3" xfId="53"/>
    <cellStyle name="一般 4" xfId="741"/>
    <cellStyle name="千位分隔" xfId="1" builtinId="3"/>
    <cellStyle name="百分比" xfId="2" builtinId="5"/>
    <cellStyle name="百分比 2" xfId="55"/>
    <cellStyle name="百分比 3" xfId="742"/>
    <cellStyle name="常规" xfId="0" builtinId="0"/>
    <cellStyle name="常规 2" xfId="54"/>
  </cellStyles>
  <dxfs count="86">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medium">
          <color indexed="64"/>
        </left>
        <right/>
        <top style="thin">
          <color theme="4" tint="0.39997558519241921"/>
        </top>
        <bottom style="thin">
          <color theme="4" tint="0.39997558519241921"/>
        </bottom>
      </border>
    </dxf>
    <dxf>
      <border diagonalUp="0" diagonalDown="0">
        <left style="medium">
          <color indexed="64"/>
        </left>
        <right style="medium">
          <color indexed="64"/>
        </right>
        <top style="medium">
          <color indexed="64"/>
        </top>
        <bottom style="medium">
          <color indexed="64"/>
        </bottom>
      </border>
    </dxf>
    <dxf>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 formatCode="0"/>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numFmt numFmtId="1" formatCode="0"/>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0" formatCode="General"/>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rgb="FF0070C0"/>
        </patternFill>
      </fill>
      <alignment horizontal="left" vertical="bottom" textRotation="0" wrapText="0" indent="0" justifyLastLine="0" shrinkToFit="0" readingOrder="0"/>
      <protection locked="0" hidden="0"/>
    </dxf>
  </dxfs>
  <tableStyles count="0" defaultTableStyle="TableStyleMedium2" defaultPivotStyle="PivotStyleLight16"/>
  <colors>
    <mruColors>
      <color rgb="FFB3272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466725</xdr:colOff>
      <xdr:row>18</xdr:row>
      <xdr:rowOff>123824</xdr:rowOff>
    </xdr:from>
    <xdr:to>
      <xdr:col>10</xdr:col>
      <xdr:colOff>44711</xdr:colOff>
      <xdr:row>22</xdr:row>
      <xdr:rowOff>140588</xdr:rowOff>
    </xdr:to>
    <xdr:pic>
      <xdr:nvPicPr>
        <xdr:cNvPr id="7" name="Picture 6"/>
        <xdr:cNvPicPr>
          <a:picLocks noChangeAspect="1"/>
        </xdr:cNvPicPr>
      </xdr:nvPicPr>
      <xdr:blipFill>
        <a:blip xmlns:r="http://schemas.openxmlformats.org/officeDocument/2006/relationships" r:embed="rId1"/>
        <a:stretch>
          <a:fillRect/>
        </a:stretch>
      </xdr:blipFill>
      <xdr:spPr>
        <a:xfrm>
          <a:off x="885825" y="3933824"/>
          <a:ext cx="4816736" cy="740664"/>
        </a:xfrm>
        <a:prstGeom prst="rect">
          <a:avLst/>
        </a:prstGeom>
      </xdr:spPr>
    </xdr:pic>
    <xdr:clientData/>
  </xdr:twoCellAnchor>
  <xdr:twoCellAnchor editAs="oneCell">
    <xdr:from>
      <xdr:col>4</xdr:col>
      <xdr:colOff>247650</xdr:colOff>
      <xdr:row>25</xdr:row>
      <xdr:rowOff>95250</xdr:rowOff>
    </xdr:from>
    <xdr:to>
      <xdr:col>8</xdr:col>
      <xdr:colOff>171117</xdr:colOff>
      <xdr:row>29</xdr:row>
      <xdr:rowOff>95160</xdr:rowOff>
    </xdr:to>
    <xdr:pic>
      <xdr:nvPicPr>
        <xdr:cNvPr id="8" name="Picture 7"/>
        <xdr:cNvPicPr>
          <a:picLocks noChangeAspect="1"/>
        </xdr:cNvPicPr>
      </xdr:nvPicPr>
      <xdr:blipFill>
        <a:blip xmlns:r="http://schemas.openxmlformats.org/officeDocument/2006/relationships" r:embed="rId2"/>
        <a:stretch>
          <a:fillRect/>
        </a:stretch>
      </xdr:blipFill>
      <xdr:spPr>
        <a:xfrm>
          <a:off x="2038350" y="5181600"/>
          <a:ext cx="2666667" cy="723810"/>
        </a:xfrm>
        <a:prstGeom prst="rect">
          <a:avLst/>
        </a:prstGeom>
      </xdr:spPr>
    </xdr:pic>
    <xdr:clientData/>
  </xdr:twoCellAnchor>
  <xdr:twoCellAnchor editAs="oneCell">
    <xdr:from>
      <xdr:col>2</xdr:col>
      <xdr:colOff>142875</xdr:colOff>
      <xdr:row>31</xdr:row>
      <xdr:rowOff>133351</xdr:rowOff>
    </xdr:from>
    <xdr:to>
      <xdr:col>10</xdr:col>
      <xdr:colOff>536829</xdr:colOff>
      <xdr:row>43</xdr:row>
      <xdr:rowOff>5061</xdr:rowOff>
    </xdr:to>
    <xdr:pic>
      <xdr:nvPicPr>
        <xdr:cNvPr id="9" name="Picture 8"/>
        <xdr:cNvPicPr>
          <a:picLocks noChangeAspect="1"/>
        </xdr:cNvPicPr>
      </xdr:nvPicPr>
      <xdr:blipFill>
        <a:blip xmlns:r="http://schemas.openxmlformats.org/officeDocument/2006/relationships" r:embed="rId3"/>
        <a:stretch>
          <a:fillRect/>
        </a:stretch>
      </xdr:blipFill>
      <xdr:spPr>
        <a:xfrm>
          <a:off x="561975" y="6315076"/>
          <a:ext cx="5632704" cy="2052935"/>
        </a:xfrm>
        <a:prstGeom prst="rect">
          <a:avLst/>
        </a:prstGeom>
      </xdr:spPr>
    </xdr:pic>
    <xdr:clientData/>
  </xdr:twoCellAnchor>
  <xdr:twoCellAnchor editAs="oneCell">
    <xdr:from>
      <xdr:col>2</xdr:col>
      <xdr:colOff>85725</xdr:colOff>
      <xdr:row>53</xdr:row>
      <xdr:rowOff>152400</xdr:rowOff>
    </xdr:from>
    <xdr:to>
      <xdr:col>10</xdr:col>
      <xdr:colOff>479679</xdr:colOff>
      <xdr:row>65</xdr:row>
      <xdr:rowOff>19431</xdr:rowOff>
    </xdr:to>
    <xdr:pic>
      <xdr:nvPicPr>
        <xdr:cNvPr id="11" name="Picture 10"/>
        <xdr:cNvPicPr>
          <a:picLocks noChangeAspect="1"/>
        </xdr:cNvPicPr>
      </xdr:nvPicPr>
      <xdr:blipFill>
        <a:blip xmlns:r="http://schemas.openxmlformats.org/officeDocument/2006/relationships" r:embed="rId4"/>
        <a:stretch>
          <a:fillRect/>
        </a:stretch>
      </xdr:blipFill>
      <xdr:spPr>
        <a:xfrm>
          <a:off x="504825" y="10353675"/>
          <a:ext cx="5632704" cy="2048256"/>
        </a:xfrm>
        <a:prstGeom prst="rect">
          <a:avLst/>
        </a:prstGeom>
      </xdr:spPr>
    </xdr:pic>
    <xdr:clientData/>
  </xdr:twoCellAnchor>
  <xdr:twoCellAnchor editAs="oneCell">
    <xdr:from>
      <xdr:col>4</xdr:col>
      <xdr:colOff>342900</xdr:colOff>
      <xdr:row>47</xdr:row>
      <xdr:rowOff>0</xdr:rowOff>
    </xdr:from>
    <xdr:to>
      <xdr:col>8</xdr:col>
      <xdr:colOff>113986</xdr:colOff>
      <xdr:row>50</xdr:row>
      <xdr:rowOff>171361</xdr:rowOff>
    </xdr:to>
    <xdr:pic>
      <xdr:nvPicPr>
        <xdr:cNvPr id="2" name="Picture 1"/>
        <xdr:cNvPicPr>
          <a:picLocks noChangeAspect="1"/>
        </xdr:cNvPicPr>
      </xdr:nvPicPr>
      <xdr:blipFill>
        <a:blip xmlns:r="http://schemas.openxmlformats.org/officeDocument/2006/relationships" r:embed="rId5"/>
        <a:stretch>
          <a:fillRect/>
        </a:stretch>
      </xdr:blipFill>
      <xdr:spPr>
        <a:xfrm>
          <a:off x="2133600" y="9096375"/>
          <a:ext cx="2514286" cy="714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211491</xdr:colOff>
      <xdr:row>4</xdr:row>
      <xdr:rowOff>15648</xdr:rowOff>
    </xdr:from>
    <xdr:to>
      <xdr:col>18</xdr:col>
      <xdr:colOff>496140</xdr:colOff>
      <xdr:row>10</xdr:row>
      <xdr:rowOff>66956</xdr:rowOff>
    </xdr:to>
    <xdr:sp macro="" textlink="">
      <xdr:nvSpPr>
        <xdr:cNvPr id="2" name="TextBox 1">
          <a:extLst>
            <a:ext uri="{FF2B5EF4-FFF2-40B4-BE49-F238E27FC236}">
              <a16:creationId xmlns="" xmlns:a16="http://schemas.microsoft.com/office/drawing/2014/main" id="{00000000-0008-0000-0100-000005000000}"/>
            </a:ext>
          </a:extLst>
        </xdr:cNvPr>
        <xdr:cNvSpPr txBox="1"/>
      </xdr:nvSpPr>
      <xdr:spPr>
        <a:xfrm>
          <a:off x="7887520" y="766442"/>
          <a:ext cx="3915355" cy="1261543"/>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Calculated values in the Product Simulator are measured under stabilized direct current conditions to more accurately represent the COB performance at typical application. </a:t>
          </a:r>
          <a:r>
            <a:rPr lang="en-US" sz="1100" b="1"/>
            <a:t>DC </a:t>
          </a:r>
          <a:r>
            <a:rPr lang="en-US" sz="1100" b="1" baseline="0"/>
            <a:t> vs. Pulse conditions will produce differing performance measurements. </a:t>
          </a:r>
          <a:r>
            <a:rPr lang="en-US" sz="1100"/>
            <a:t>Please refer to the appropriate COB Datasheet and Production Selection Guides for pulsed measurement specifications.   </a:t>
          </a:r>
        </a:p>
        <a:p>
          <a:r>
            <a:rPr lang="en-US" sz="1100"/>
            <a:t>PPF and photon</a:t>
          </a:r>
          <a:r>
            <a:rPr lang="en-US" sz="1100" baseline="0"/>
            <a:t> efficiency values are only available for T</a:t>
          </a:r>
          <a:r>
            <a:rPr lang="en-US" sz="1100" baseline="-25000"/>
            <a:t>c</a:t>
          </a:r>
          <a:r>
            <a:rPr lang="en-US" sz="1100" baseline="0"/>
            <a:t>=25°C and </a:t>
          </a:r>
          <a:r>
            <a:rPr lang="en-US" sz="1100" baseline="0">
              <a:solidFill>
                <a:schemeClr val="dk1"/>
              </a:solidFill>
              <a:effectLst/>
              <a:latin typeface="+mn-lt"/>
              <a:ea typeface="+mn-ea"/>
              <a:cs typeface="+mn-cs"/>
            </a:rPr>
            <a:t>T</a:t>
          </a:r>
          <a:r>
            <a:rPr lang="en-US" sz="1100" baseline="-25000">
              <a:solidFill>
                <a:schemeClr val="dk1"/>
              </a:solidFill>
              <a:effectLst/>
              <a:latin typeface="+mn-lt"/>
              <a:ea typeface="+mn-ea"/>
              <a:cs typeface="+mn-cs"/>
            </a:rPr>
            <a:t>c</a:t>
          </a:r>
          <a:r>
            <a:rPr lang="en-US" sz="1100" baseline="0"/>
            <a:t>=85°C .</a:t>
          </a:r>
          <a:endParaRPr lang="en-US" sz="1100"/>
        </a:p>
      </xdr:txBody>
    </xdr:sp>
    <xdr:clientData/>
  </xdr:twoCellAnchor>
  <xdr:twoCellAnchor editAs="oneCell">
    <xdr:from>
      <xdr:col>2</xdr:col>
      <xdr:colOff>590411</xdr:colOff>
      <xdr:row>6</xdr:row>
      <xdr:rowOff>111693</xdr:rowOff>
    </xdr:from>
    <xdr:to>
      <xdr:col>4</xdr:col>
      <xdr:colOff>1221442</xdr:colOff>
      <xdr:row>10</xdr:row>
      <xdr:rowOff>47484</xdr:rowOff>
    </xdr:to>
    <xdr:pic>
      <xdr:nvPicPr>
        <xdr:cNvPr id="3" name="Picture 2">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5529" y="1265899"/>
          <a:ext cx="1841266" cy="7426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bridgeluxemail-my.sharepoint.com/personal/jianchuantan_bridgelux_com/Documents/Projects/Bridgelux%20Vero%20SE%20Product%20Simulator%20EXPIRES%2020190630%20Rev.6%20-%20B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randonbrooks/Documents/Product%20Files/product-simulator%2020200406/Bridgelux%20Gen%203%20EB%20Module%20Product%20Simulator%20RevX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andonbrooks/Documents/Project%20Files/2019.05.15%20Product%20Simulator%20Update/Bridgelux%20Gen%208%20Vero%20Vero-SE%20and%20V%20Series%20Product%20Simulator%20Rev1A%20-%20Pre-relea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VEROSE-29D"/>
      <sheetName val="VEROSE-29C"/>
      <sheetName val="VEROSE-29B"/>
      <sheetName val="VEROSE-18D"/>
      <sheetName val="VEROSE-18C"/>
      <sheetName val="VEROSE-18B"/>
      <sheetName val="VEROSE-13D"/>
      <sheetName val="VEROSE-13C"/>
      <sheetName val="VEROSE-13B"/>
      <sheetName val="VEROSE-10B"/>
      <sheetName val="VEROSE-10D"/>
      <sheetName val="VEROSE-10C"/>
    </sheetNames>
    <sheetDataSet>
      <sheetData sheetId="0" refreshError="1"/>
      <sheetData sheetId="1"/>
      <sheetData sheetId="2">
        <row r="37">
          <cell r="N37" t="str">
            <v>Code</v>
          </cell>
          <cell r="O37" t="str">
            <v>85 DC Factor</v>
          </cell>
        </row>
        <row r="38">
          <cell r="N38" t="str">
            <v>17E</v>
          </cell>
          <cell r="O38">
            <v>0.88</v>
          </cell>
        </row>
        <row r="39">
          <cell r="N39" t="str">
            <v>25E</v>
          </cell>
          <cell r="O39">
            <v>0.88</v>
          </cell>
        </row>
        <row r="40">
          <cell r="N40" t="str">
            <v>27E</v>
          </cell>
          <cell r="O40">
            <v>0.90691252449670401</v>
          </cell>
        </row>
        <row r="41">
          <cell r="N41" t="str">
            <v>27G</v>
          </cell>
          <cell r="O41">
            <v>0.88</v>
          </cell>
        </row>
        <row r="42">
          <cell r="N42" t="str">
            <v>27H</v>
          </cell>
          <cell r="O42">
            <v>0.82</v>
          </cell>
        </row>
        <row r="43">
          <cell r="N43" t="str">
            <v>30A</v>
          </cell>
          <cell r="O43">
            <v>0.87769747119999997</v>
          </cell>
        </row>
        <row r="44">
          <cell r="N44" t="str">
            <v>30E</v>
          </cell>
          <cell r="O44">
            <v>0.90421201296003983</v>
          </cell>
        </row>
        <row r="45">
          <cell r="N45" t="str">
            <v>30G</v>
          </cell>
          <cell r="O45">
            <v>0.88</v>
          </cell>
        </row>
        <row r="46">
          <cell r="N46" t="str">
            <v>30H</v>
          </cell>
          <cell r="O46">
            <v>0.82</v>
          </cell>
        </row>
        <row r="47">
          <cell r="N47" t="str">
            <v>35E</v>
          </cell>
          <cell r="O47">
            <v>0.90843612881861069</v>
          </cell>
        </row>
        <row r="48">
          <cell r="N48" t="str">
            <v>35G</v>
          </cell>
          <cell r="O48">
            <v>0.89</v>
          </cell>
        </row>
        <row r="49">
          <cell r="N49" t="str">
            <v>35H</v>
          </cell>
        </row>
        <row r="50">
          <cell r="N50" t="str">
            <v>40A</v>
          </cell>
          <cell r="O50">
            <v>0.89355050089999999</v>
          </cell>
        </row>
        <row r="51">
          <cell r="N51" t="str">
            <v>40E</v>
          </cell>
          <cell r="O51">
            <v>0.90312681429874753</v>
          </cell>
        </row>
        <row r="52">
          <cell r="N52" t="str">
            <v>40G</v>
          </cell>
          <cell r="O52">
            <v>0.88</v>
          </cell>
        </row>
        <row r="53">
          <cell r="N53" t="str">
            <v>50C</v>
          </cell>
          <cell r="O53">
            <v>0.88</v>
          </cell>
        </row>
        <row r="54">
          <cell r="N54" t="str">
            <v>50E</v>
          </cell>
          <cell r="O54">
            <v>0.88</v>
          </cell>
        </row>
        <row r="55">
          <cell r="N55" t="str">
            <v>50G</v>
          </cell>
          <cell r="O55">
            <v>0.88</v>
          </cell>
        </row>
        <row r="56">
          <cell r="N56" t="str">
            <v>56G</v>
          </cell>
          <cell r="O56">
            <v>0.88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P5" t="str">
            <v>Lumens</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Bridgelux Gen 3 EB Module Produ"/>
    </sheetNames>
    <sheetDataSet>
      <sheetData sheetId="0" refreshError="1"/>
      <sheetData sheetId="1"/>
      <sheetData sheetId="2">
        <row r="3">
          <cell r="AB3" t="str">
            <v>Code</v>
          </cell>
          <cell r="AC3" t="str">
            <v>85 DC Factor</v>
          </cell>
          <cell r="AF3" t="str">
            <v>Code</v>
          </cell>
          <cell r="AG3" t="str">
            <v>85 DC Factor</v>
          </cell>
          <cell r="AI3" t="str">
            <v>Code</v>
          </cell>
          <cell r="AJ3" t="str">
            <v>85 DC Factor</v>
          </cell>
          <cell r="AL3" t="str">
            <v>Code</v>
          </cell>
          <cell r="AM3" t="str">
            <v>85 DC Factor</v>
          </cell>
        </row>
        <row r="4">
          <cell r="AB4" t="str">
            <v>17E</v>
          </cell>
          <cell r="AC4" t="str">
            <v>-</v>
          </cell>
          <cell r="AF4" t="str">
            <v>17E</v>
          </cell>
          <cell r="AG4" t="str">
            <v>-</v>
          </cell>
          <cell r="AI4" t="str">
            <v>17E</v>
          </cell>
          <cell r="AJ4">
            <v>0.88</v>
          </cell>
          <cell r="AL4" t="str">
            <v>17E</v>
          </cell>
          <cell r="AM4">
            <v>0.88</v>
          </cell>
        </row>
        <row r="5">
          <cell r="AB5" t="str">
            <v>25E</v>
          </cell>
          <cell r="AC5" t="str">
            <v>-</v>
          </cell>
          <cell r="AF5" t="str">
            <v>25E</v>
          </cell>
          <cell r="AG5" t="str">
            <v>-</v>
          </cell>
          <cell r="AI5" t="str">
            <v>25E</v>
          </cell>
          <cell r="AJ5">
            <v>0.88</v>
          </cell>
          <cell r="AL5" t="str">
            <v>25E</v>
          </cell>
          <cell r="AM5">
            <v>0.88</v>
          </cell>
        </row>
        <row r="6">
          <cell r="AB6" t="str">
            <v>27E</v>
          </cell>
          <cell r="AC6">
            <v>0.88898999999999995</v>
          </cell>
          <cell r="AF6" t="str">
            <v>27E</v>
          </cell>
          <cell r="AG6">
            <v>0.91579999999999995</v>
          </cell>
          <cell r="AI6" t="str">
            <v>27E</v>
          </cell>
          <cell r="AJ6">
            <v>0.90691252449670401</v>
          </cell>
          <cell r="AL6" t="str">
            <v>27E</v>
          </cell>
          <cell r="AM6">
            <v>0.90539926611916821</v>
          </cell>
        </row>
        <row r="7">
          <cell r="AB7" t="str">
            <v>27G</v>
          </cell>
          <cell r="AC7">
            <v>0.88898999999999995</v>
          </cell>
          <cell r="AF7" t="str">
            <v>27G</v>
          </cell>
          <cell r="AG7">
            <v>0.88</v>
          </cell>
          <cell r="AI7" t="str">
            <v>27G</v>
          </cell>
          <cell r="AJ7">
            <v>0.88</v>
          </cell>
          <cell r="AL7" t="str">
            <v>27G</v>
          </cell>
          <cell r="AM7">
            <v>0.88</v>
          </cell>
        </row>
        <row r="8">
          <cell r="AB8" t="str">
            <v>27H</v>
          </cell>
          <cell r="AC8">
            <v>0.82</v>
          </cell>
          <cell r="AF8" t="str">
            <v>27H</v>
          </cell>
          <cell r="AG8">
            <v>0.82</v>
          </cell>
          <cell r="AI8" t="str">
            <v>27H</v>
          </cell>
          <cell r="AJ8">
            <v>0.82</v>
          </cell>
          <cell r="AL8" t="str">
            <v>27H</v>
          </cell>
          <cell r="AM8">
            <v>0.82</v>
          </cell>
        </row>
        <row r="9">
          <cell r="AB9" t="str">
            <v>30A</v>
          </cell>
          <cell r="AC9">
            <v>0.88812461440000001</v>
          </cell>
          <cell r="AF9" t="str">
            <v>30A</v>
          </cell>
          <cell r="AG9">
            <v>0.88812461440000001</v>
          </cell>
          <cell r="AI9" t="str">
            <v>30A</v>
          </cell>
          <cell r="AJ9">
            <v>0.87769747119999997</v>
          </cell>
          <cell r="AL9" t="str">
            <v>30A</v>
          </cell>
          <cell r="AM9">
            <v>0.89107579370000001</v>
          </cell>
        </row>
        <row r="10">
          <cell r="AB10" t="str">
            <v>30E</v>
          </cell>
          <cell r="AC10">
            <v>0.88932599999999995</v>
          </cell>
          <cell r="AF10" t="str">
            <v>30E</v>
          </cell>
          <cell r="AG10">
            <v>0.90076212096643438</v>
          </cell>
          <cell r="AI10" t="str">
            <v>30E</v>
          </cell>
          <cell r="AJ10">
            <v>0.90421201296003983</v>
          </cell>
          <cell r="AL10" t="str">
            <v>30E</v>
          </cell>
          <cell r="AM10">
            <v>0.90774086378737495</v>
          </cell>
        </row>
        <row r="11">
          <cell r="AB11" t="str">
            <v>30G</v>
          </cell>
          <cell r="AC11">
            <v>0.88932599999999995</v>
          </cell>
          <cell r="AF11" t="str">
            <v>30G</v>
          </cell>
          <cell r="AG11">
            <v>0.88</v>
          </cell>
          <cell r="AI11" t="str">
            <v>30G</v>
          </cell>
          <cell r="AJ11">
            <v>0.88</v>
          </cell>
          <cell r="AL11" t="str">
            <v>30G</v>
          </cell>
          <cell r="AM11">
            <v>0.88</v>
          </cell>
        </row>
        <row r="12">
          <cell r="AB12" t="str">
            <v>30H</v>
          </cell>
          <cell r="AC12">
            <v>0.82</v>
          </cell>
          <cell r="AF12" t="str">
            <v>30H</v>
          </cell>
          <cell r="AG12">
            <v>0.82</v>
          </cell>
          <cell r="AI12" t="str">
            <v>30H</v>
          </cell>
          <cell r="AJ12">
            <v>0.82</v>
          </cell>
          <cell r="AL12" t="str">
            <v>30H</v>
          </cell>
          <cell r="AM12">
            <v>0.82</v>
          </cell>
        </row>
        <row r="13">
          <cell r="AB13" t="str">
            <v>35E</v>
          </cell>
          <cell r="AC13">
            <v>0.88932599999999995</v>
          </cell>
          <cell r="AF13" t="str">
            <v>35E</v>
          </cell>
          <cell r="AG13">
            <v>0.90566335384129992</v>
          </cell>
          <cell r="AI13" t="str">
            <v>35E</v>
          </cell>
          <cell r="AJ13">
            <v>0.90843612881861069</v>
          </cell>
          <cell r="AL13" t="str">
            <v>35E</v>
          </cell>
          <cell r="AM13">
            <v>0.89750486066105006</v>
          </cell>
        </row>
        <row r="14">
          <cell r="AB14" t="str">
            <v>35G</v>
          </cell>
          <cell r="AC14">
            <v>0.89</v>
          </cell>
          <cell r="AF14" t="str">
            <v>35G</v>
          </cell>
          <cell r="AG14">
            <v>0.89</v>
          </cell>
          <cell r="AI14" t="str">
            <v>35G</v>
          </cell>
          <cell r="AJ14">
            <v>0.89</v>
          </cell>
          <cell r="AL14" t="str">
            <v>35G</v>
          </cell>
          <cell r="AM14">
            <v>0.89</v>
          </cell>
        </row>
        <row r="15">
          <cell r="AB15" t="str">
            <v>35H</v>
          </cell>
          <cell r="AC15" t="str">
            <v>-</v>
          </cell>
          <cell r="AF15" t="str">
            <v>35H</v>
          </cell>
          <cell r="AG15" t="str">
            <v>-</v>
          </cell>
          <cell r="AI15" t="str">
            <v>35H</v>
          </cell>
          <cell r="AL15" t="str">
            <v>35H</v>
          </cell>
        </row>
        <row r="16">
          <cell r="AB16" t="str">
            <v>40A</v>
          </cell>
          <cell r="AC16">
            <v>0.88787044189999997</v>
          </cell>
          <cell r="AF16" t="str">
            <v>40A</v>
          </cell>
          <cell r="AG16">
            <v>0.88787044189999997</v>
          </cell>
          <cell r="AI16" t="str">
            <v>40A</v>
          </cell>
          <cell r="AJ16">
            <v>0.89355050089999999</v>
          </cell>
          <cell r="AL16" t="str">
            <v>40A</v>
          </cell>
          <cell r="AM16">
            <v>0.8906497457</v>
          </cell>
        </row>
        <row r="17">
          <cell r="AB17" t="str">
            <v>40E</v>
          </cell>
          <cell r="AC17">
            <v>0.88565000000000005</v>
          </cell>
          <cell r="AF17" t="str">
            <v>40E</v>
          </cell>
          <cell r="AG17">
            <v>0.9019637925744094</v>
          </cell>
          <cell r="AI17" t="str">
            <v>40E</v>
          </cell>
          <cell r="AJ17">
            <v>0.90312681429874753</v>
          </cell>
          <cell r="AL17" t="str">
            <v>40E</v>
          </cell>
          <cell r="AM17">
            <v>0.89817667400188606</v>
          </cell>
        </row>
        <row r="18">
          <cell r="AB18" t="str">
            <v>40G</v>
          </cell>
          <cell r="AC18">
            <v>0.88565000000000005</v>
          </cell>
          <cell r="AF18" t="str">
            <v>40G</v>
          </cell>
          <cell r="AG18">
            <v>0.88</v>
          </cell>
          <cell r="AI18" t="str">
            <v>40G</v>
          </cell>
          <cell r="AJ18">
            <v>0.88</v>
          </cell>
          <cell r="AL18" t="str">
            <v>40G</v>
          </cell>
          <cell r="AM18">
            <v>0.88</v>
          </cell>
        </row>
        <row r="19">
          <cell r="AB19" t="str">
            <v>50C</v>
          </cell>
          <cell r="AC19">
            <v>0.87918499999999999</v>
          </cell>
          <cell r="AF19" t="str">
            <v>50C</v>
          </cell>
          <cell r="AG19">
            <v>0.88</v>
          </cell>
          <cell r="AI19" t="str">
            <v>50C</v>
          </cell>
          <cell r="AJ19">
            <v>0.88</v>
          </cell>
          <cell r="AL19" t="str">
            <v>50C</v>
          </cell>
          <cell r="AM19">
            <v>0.88</v>
          </cell>
        </row>
        <row r="20">
          <cell r="AB20" t="str">
            <v>50E</v>
          </cell>
          <cell r="AC20">
            <v>0.87918499999999999</v>
          </cell>
          <cell r="AF20" t="str">
            <v>50E</v>
          </cell>
          <cell r="AG20">
            <v>0.88</v>
          </cell>
          <cell r="AI20" t="str">
            <v>50E</v>
          </cell>
          <cell r="AJ20">
            <v>0.88</v>
          </cell>
          <cell r="AL20" t="str">
            <v>50E</v>
          </cell>
          <cell r="AM20">
            <v>0.88</v>
          </cell>
        </row>
        <row r="21">
          <cell r="AB21" t="str">
            <v>50G</v>
          </cell>
          <cell r="AC21">
            <v>0.87918499999999999</v>
          </cell>
          <cell r="AF21" t="str">
            <v>50G</v>
          </cell>
          <cell r="AG21">
            <v>0.88</v>
          </cell>
          <cell r="AI21" t="str">
            <v>50G</v>
          </cell>
          <cell r="AJ21">
            <v>0.88</v>
          </cell>
          <cell r="AL21" t="str">
            <v>50G</v>
          </cell>
          <cell r="AM21">
            <v>0.88</v>
          </cell>
        </row>
        <row r="22">
          <cell r="AB22" t="str">
            <v>56G</v>
          </cell>
          <cell r="AC22">
            <v>0.86</v>
          </cell>
          <cell r="AF22" t="str">
            <v>56G</v>
          </cell>
          <cell r="AG22">
            <v>0.86</v>
          </cell>
          <cell r="AI22" t="str">
            <v>56G</v>
          </cell>
          <cell r="AJ22">
            <v>0.88</v>
          </cell>
          <cell r="AL22" t="str">
            <v>56G</v>
          </cell>
          <cell r="AM22">
            <v>0.88</v>
          </cell>
        </row>
        <row r="26">
          <cell r="AB26" t="str">
            <v>Code</v>
          </cell>
          <cell r="AC26" t="str">
            <v>85 DC Factor</v>
          </cell>
          <cell r="AF26" t="str">
            <v>Code</v>
          </cell>
          <cell r="AG26" t="str">
            <v>85 DC Factor</v>
          </cell>
          <cell r="AI26" t="str">
            <v>Code</v>
          </cell>
          <cell r="AJ26" t="str">
            <v>85 DC Factor</v>
          </cell>
          <cell r="AL26" t="str">
            <v>Code</v>
          </cell>
          <cell r="AM26" t="str">
            <v>85 DC Factor</v>
          </cell>
        </row>
        <row r="27">
          <cell r="AB27" t="str">
            <v>27E</v>
          </cell>
          <cell r="AC27">
            <v>0.9</v>
          </cell>
          <cell r="AF27" t="str">
            <v>27E</v>
          </cell>
          <cell r="AG27">
            <v>0.89800000000000002</v>
          </cell>
          <cell r="AI27" t="str">
            <v>27E</v>
          </cell>
          <cell r="AJ27">
            <v>0.88873228900000001</v>
          </cell>
          <cell r="AL27" t="str">
            <v>27E</v>
          </cell>
          <cell r="AM27">
            <v>0.892060046</v>
          </cell>
        </row>
        <row r="28">
          <cell r="AB28" t="str">
            <v>27G</v>
          </cell>
          <cell r="AC28">
            <v>0.9</v>
          </cell>
          <cell r="AF28" t="str">
            <v>27G</v>
          </cell>
          <cell r="AG28">
            <v>0.88</v>
          </cell>
          <cell r="AI28" t="str">
            <v>27G</v>
          </cell>
          <cell r="AJ28">
            <v>0.88873228900000001</v>
          </cell>
          <cell r="AL28" t="str">
            <v>27G</v>
          </cell>
          <cell r="AM28">
            <v>0.892060046</v>
          </cell>
        </row>
        <row r="29">
          <cell r="AB29" t="str">
            <v>30E</v>
          </cell>
          <cell r="AC29">
            <v>0.9</v>
          </cell>
          <cell r="AF29" t="str">
            <v>30E</v>
          </cell>
          <cell r="AG29">
            <v>0.89600000000000002</v>
          </cell>
          <cell r="AI29" t="str">
            <v>30E</v>
          </cell>
          <cell r="AJ29">
            <v>0.89565275099999997</v>
          </cell>
          <cell r="AL29" t="str">
            <v>30E</v>
          </cell>
          <cell r="AM29">
            <v>0.89370903300000004</v>
          </cell>
        </row>
        <row r="30">
          <cell r="AB30" t="str">
            <v>30G</v>
          </cell>
          <cell r="AC30">
            <v>0.9</v>
          </cell>
          <cell r="AF30" t="str">
            <v>30G</v>
          </cell>
          <cell r="AG30">
            <v>0.88</v>
          </cell>
          <cell r="AI30" t="str">
            <v>30G</v>
          </cell>
          <cell r="AJ30">
            <v>0.89565275099999997</v>
          </cell>
          <cell r="AL30" t="str">
            <v>30G</v>
          </cell>
          <cell r="AM30">
            <v>0.89370903300000004</v>
          </cell>
        </row>
        <row r="31">
          <cell r="AB31" t="str">
            <v>40E</v>
          </cell>
          <cell r="AC31">
            <v>0.9</v>
          </cell>
          <cell r="AF31" t="str">
            <v>40E</v>
          </cell>
          <cell r="AG31">
            <v>0.90100000000000002</v>
          </cell>
          <cell r="AI31" t="str">
            <v>40E</v>
          </cell>
          <cell r="AJ31">
            <v>0.896027095</v>
          </cell>
          <cell r="AL31" t="str">
            <v>40E</v>
          </cell>
          <cell r="AM31">
            <v>0.89357501399999995</v>
          </cell>
        </row>
        <row r="32">
          <cell r="AB32" t="str">
            <v>40G</v>
          </cell>
          <cell r="AF32" t="str">
            <v>40G</v>
          </cell>
          <cell r="AG32">
            <v>0.88</v>
          </cell>
          <cell r="AI32" t="str">
            <v>40G</v>
          </cell>
          <cell r="AJ32">
            <v>0.896027095</v>
          </cell>
          <cell r="AL32" t="str">
            <v>40G</v>
          </cell>
          <cell r="AM32">
            <v>0.89357501399999995</v>
          </cell>
        </row>
        <row r="33">
          <cell r="AB33" t="str">
            <v>50C</v>
          </cell>
          <cell r="AC33">
            <v>0.9</v>
          </cell>
          <cell r="AF33" t="str">
            <v>50C</v>
          </cell>
          <cell r="AG33">
            <v>0.88</v>
          </cell>
          <cell r="AI33" t="str">
            <v>50C</v>
          </cell>
          <cell r="AJ33">
            <v>0.86730394499999997</v>
          </cell>
          <cell r="AL33" t="str">
            <v>50C</v>
          </cell>
          <cell r="AM33">
            <v>0.86730394499999997</v>
          </cell>
        </row>
        <row r="34">
          <cell r="AB34" t="str">
            <v>50E</v>
          </cell>
          <cell r="AC34">
            <v>0.9</v>
          </cell>
          <cell r="AF34" t="str">
            <v>50E</v>
          </cell>
          <cell r="AG34">
            <v>0.88</v>
          </cell>
          <cell r="AI34" t="str">
            <v>50E</v>
          </cell>
          <cell r="AJ34">
            <v>0.86730394499999997</v>
          </cell>
          <cell r="AL34" t="str">
            <v>50E</v>
          </cell>
          <cell r="AM34">
            <v>0.86730394499999997</v>
          </cell>
        </row>
        <row r="35">
          <cell r="AB35" t="str">
            <v>50G</v>
          </cell>
          <cell r="AC35">
            <v>0.9</v>
          </cell>
          <cell r="AF35" t="str">
            <v>50G</v>
          </cell>
          <cell r="AG35">
            <v>0.88</v>
          </cell>
          <cell r="AI35" t="str">
            <v>50G</v>
          </cell>
          <cell r="AJ35">
            <v>0.86730394499999997</v>
          </cell>
          <cell r="AL35" t="str">
            <v>50G</v>
          </cell>
          <cell r="AM35">
            <v>0.86730394499999997</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Scaling Factors"/>
      <sheetName val="Bridgelux Gen 8 Vero Vero-SE an"/>
    </sheetNames>
    <sheetDataSet>
      <sheetData sheetId="0"/>
      <sheetData sheetId="1">
        <row r="8">
          <cell r="I8">
            <v>55</v>
          </cell>
        </row>
      </sheetData>
      <sheetData sheetId="2"/>
      <sheetData sheetId="3">
        <row r="6">
          <cell r="AD6" t="e">
            <v>#N/A</v>
          </cell>
        </row>
      </sheetData>
      <sheetData sheetId="4"/>
      <sheetData sheetId="5">
        <row r="8">
          <cell r="J8" t="e">
            <v>#N/A</v>
          </cell>
        </row>
      </sheetData>
      <sheetData sheetId="6"/>
      <sheetData sheetId="7" refreshError="1"/>
    </sheetDataSet>
  </externalBook>
</externalLink>
</file>

<file path=xl/tables/table1.xml><?xml version="1.0" encoding="utf-8"?>
<table xmlns="http://schemas.openxmlformats.org/spreadsheetml/2006/main" id="3" name="Master_Table" displayName="Master_Table" ref="A4:CA105" totalsRowShown="0" headerRowDxfId="85" dataDxfId="84">
  <autoFilter ref="A4:CA105"/>
  <tableColumns count="79">
    <tableColumn id="95" name="LES-Type" dataDxfId="83"/>
    <tableColumn id="1" name="Product Family" dataDxfId="82"/>
    <tableColumn id="3" name="Tunable White Array" dataDxfId="81"/>
    <tableColumn id="2" name="Nominal CCT+CRI" dataDxfId="80"/>
    <tableColumn id="4" name="Lumen Family" dataDxfId="79"/>
    <tableColumn id="5" name="Generation" dataDxfId="78"/>
    <tableColumn id="94" name="Tech" dataDxfId="77"/>
    <tableColumn id="93" name="PF+CCT+Tech" dataDxfId="76">
      <calculatedColumnFormula>Master_Table[[#This Row],[LES-Type]]&amp;"-"&amp;Master_Table[[#This Row],[Nominal CCT+CRI]]&amp;Master_Table[[#This Row],[Tech]]</calculatedColumnFormula>
    </tableColumn>
    <tableColumn id="7" name="P/N" dataDxfId="75">
      <calculatedColumnFormula>Master_Table[[#This Row],[Product Family]]&amp;"-"&amp;Master_Table[[#This Row],[Tunable White Array]]&amp;"-"&amp;Master_Table[[#This Row],[Nominal CCT+CRI]]&amp;"-"&amp;IF(Master_Table[[#This Row],[Lumen Family]]&lt;999,"0"&amp;Master_Table[[#This Row],[Lumen Family]],Master_Table[[#This Row],[Lumen Family]])&amp;"-"&amp;Master_Table[[#This Row],[Generation]]&amp;"-23"</calculatedColumnFormula>
    </tableColumn>
    <tableColumn id="12" name="Typical Current" dataDxfId="74"/>
    <tableColumn id="13" name="Max Current" dataDxfId="73"/>
    <tableColumn id="8" name="Typical Lumens" dataDxfId="72"/>
    <tableColumn id="9" name="Typical Efficacy" dataDxfId="71">
      <calculatedColumnFormula>Master_Table[[#This Row],[Typical Lumens]]/(Master_Table[[#This Row],[Typical Voltage]]*Master_Table[[#This Row],[Typical Current]]/1000)</calculatedColumnFormula>
    </tableColumn>
    <tableColumn id="11" name="Typical Voltage" dataDxfId="70"/>
    <tableColumn id="43" name="dV/dT (mV/C)" dataDxfId="69"/>
    <tableColumn id="15" name="V^4" dataDxfId="68"/>
    <tableColumn id="16" name="V^3" dataDxfId="67"/>
    <tableColumn id="17" name="V^2" dataDxfId="66"/>
    <tableColumn id="18" name="V" dataDxfId="65"/>
    <tableColumn id="19" name="V0" dataDxfId="64"/>
    <tableColumn id="42" name="I^4" dataDxfId="63"/>
    <tableColumn id="20" name="I^3" dataDxfId="62"/>
    <tableColumn id="21" name="I^2" dataDxfId="61"/>
    <tableColumn id="22" name="I" dataDxfId="60"/>
    <tableColumn id="23" name="I0" dataDxfId="59"/>
    <tableColumn id="28" name="T^4" dataDxfId="58"/>
    <tableColumn id="29" name="T^3" dataDxfId="57"/>
    <tableColumn id="30" name="T^2" dataDxfId="56"/>
    <tableColumn id="31" name="T" dataDxfId="55"/>
    <tableColumn id="32" name="T0" dataDxfId="54"/>
    <tableColumn id="44" name="LR(WW)^4" dataDxfId="53"/>
    <tableColumn id="45" name="LR(WW)^3" dataDxfId="52"/>
    <tableColumn id="46" name="LR(WW)^2" dataDxfId="51"/>
    <tableColumn id="47" name="LR(WW)^1" dataDxfId="50"/>
    <tableColumn id="48" name="LR(WW)^0" dataDxfId="49"/>
    <tableColumn id="49" name="Typical Lumens2" dataDxfId="48"/>
    <tableColumn id="50" name="Typical Efficacy2" dataDxfId="47">
      <calculatedColumnFormula>Master_Table[[#This Row],[Typical Lumens2]]/(Master_Table[[#This Row],[Typical Voltage2]]*Master_Table[[#This Row],[Typical Current]]/1000)</calculatedColumnFormula>
    </tableColumn>
    <tableColumn id="51" name="Typical Voltage2" dataDxfId="46"/>
    <tableColumn id="52" name="dV/dT (mV/C)2" dataDxfId="45"/>
    <tableColumn id="53" name="V^42" dataDxfId="44"/>
    <tableColumn id="54" name="V^32" dataDxfId="43"/>
    <tableColumn id="55" name="V^22" dataDxfId="42"/>
    <tableColumn id="56" name="V^12" dataDxfId="41"/>
    <tableColumn id="57" name="V^02" dataDxfId="40"/>
    <tableColumn id="58" name="I^42" dataDxfId="39"/>
    <tableColumn id="59" name="I^32" dataDxfId="38"/>
    <tableColumn id="60" name="I^22" dataDxfId="37"/>
    <tableColumn id="61" name="I^12" dataDxfId="36"/>
    <tableColumn id="62" name="I^02" dataDxfId="35"/>
    <tableColumn id="63" name="T^42" dataDxfId="34"/>
    <tableColumn id="64" name="T^32" dataDxfId="33"/>
    <tableColumn id="65" name="T^22" dataDxfId="32"/>
    <tableColumn id="66" name="T^12" dataDxfId="31"/>
    <tableColumn id="67" name="T^02" dataDxfId="30"/>
    <tableColumn id="68" name="LR(CW)^4" dataDxfId="29"/>
    <tableColumn id="69" name="LR(CW)^3" dataDxfId="28"/>
    <tableColumn id="70" name="LR(CW)^2" dataDxfId="27"/>
    <tableColumn id="71" name="LR(CW)^1" dataDxfId="26"/>
    <tableColumn id="72" name="LR(CW)^0" dataDxfId="25"/>
    <tableColumn id="73" name="CCT(WW)^4" dataDxfId="24"/>
    <tableColumn id="74" name="CCT(WW)^3" dataDxfId="23"/>
    <tableColumn id="75" name="CCT(WW)^2" dataDxfId="22"/>
    <tableColumn id="76" name="CCT(WW)^1" dataDxfId="21"/>
    <tableColumn id="77" name="CCT(WW)^0" dataDxfId="20"/>
    <tableColumn id="78" name="CCT(CW)^4" dataDxfId="19"/>
    <tableColumn id="79" name="CCT(CW)^3" dataDxfId="18"/>
    <tableColumn id="80" name="CCT(CW)^2" dataDxfId="17"/>
    <tableColumn id="81" name="CCT(CW)^1" dataDxfId="16"/>
    <tableColumn id="82" name="CCT(CW)^0" dataDxfId="15"/>
    <tableColumn id="83" name="LOP(WW)^4" dataDxfId="14"/>
    <tableColumn id="84" name="LOP(WW)^3" dataDxfId="13"/>
    <tableColumn id="85" name="LOP(WW)^2" dataDxfId="12"/>
    <tableColumn id="86" name="LOP(WW)^1" dataDxfId="11"/>
    <tableColumn id="87" name="LOP(WW)^0" dataDxfId="10"/>
    <tableColumn id="88" name="LOP(CW)^4" dataDxfId="9"/>
    <tableColumn id="89" name="LOP(CW)^3" dataDxfId="8"/>
    <tableColumn id="90" name="LOP(CW)^2" dataDxfId="7"/>
    <tableColumn id="91" name="LOP(CW)^1" dataDxfId="6"/>
    <tableColumn id="92" name="LOP(CW)^0" dataDxfId="5"/>
  </tableColumns>
  <tableStyleInfo name="TableStyleMedium2" showFirstColumn="0" showLastColumn="0" showRowStripes="1" showColumnStripes="0"/>
</table>
</file>

<file path=xl/tables/table2.xml><?xml version="1.0" encoding="utf-8"?>
<table xmlns="http://schemas.openxmlformats.org/spreadsheetml/2006/main" id="5" name="CCT_CRI" displayName="CCT_CRI" ref="B4:E11" totalsRowShown="0" headerRowDxfId="4" tableBorderDxfId="3">
  <autoFilter ref="B4:E11"/>
  <tableColumns count="4">
    <tableColumn id="1" name="Nominal CCT+CRI"/>
    <tableColumn id="2" name="Code" dataDxfId="2"/>
    <tableColumn id="3" name="WW-CCT" dataDxfId="1"/>
    <tableColumn id="4" name="CW-CCT" dataDxfId="0"/>
  </tableColumns>
  <tableStyleInfo name="TableStyleMedium2"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hyperlink" Target="mailto:Flux@T" TargetMode="External"/><Relationship Id="rId2" Type="http://schemas.openxmlformats.org/officeDocument/2006/relationships/hyperlink" Target="mailto:dV@T" TargetMode="External"/><Relationship Id="rId1" Type="http://schemas.openxmlformats.org/officeDocument/2006/relationships/hyperlink" Target="mailto:dV@T" TargetMode="External"/><Relationship Id="rId6" Type="http://schemas.openxmlformats.org/officeDocument/2006/relationships/hyperlink" Target="mailto:dV@T" TargetMode="External"/><Relationship Id="rId5" Type="http://schemas.openxmlformats.org/officeDocument/2006/relationships/hyperlink" Target="mailto:dV@T" TargetMode="External"/><Relationship Id="rId4" Type="http://schemas.openxmlformats.org/officeDocument/2006/relationships/hyperlink" Target="mailto:Flu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L93"/>
  <sheetViews>
    <sheetView topLeftCell="A41" zoomScaleNormal="100" workbookViewId="0">
      <selection activeCell="C92" sqref="C92:K92"/>
    </sheetView>
  </sheetViews>
  <sheetFormatPr defaultColWidth="10.28515625" defaultRowHeight="14.25" x14ac:dyDescent="0.2"/>
  <cols>
    <col min="1" max="1" width="3.28515625" style="191" customWidth="1"/>
    <col min="2" max="2" width="3" style="191" customWidth="1"/>
    <col min="3" max="9" width="10.28515625" style="191"/>
    <col min="10" max="10" width="6.5703125" style="191" customWidth="1"/>
    <col min="11" max="11" width="12" style="191" customWidth="1"/>
    <col min="12" max="12" width="3" style="191" customWidth="1"/>
    <col min="13" max="16384" width="10.28515625" style="191"/>
  </cols>
  <sheetData>
    <row r="1" spans="2:12" ht="15" thickBot="1" x14ac:dyDescent="0.25"/>
    <row r="2" spans="2:12" x14ac:dyDescent="0.2">
      <c r="B2" s="192"/>
      <c r="C2" s="193"/>
      <c r="D2" s="193"/>
      <c r="E2" s="193"/>
      <c r="F2" s="193"/>
      <c r="G2" s="193"/>
      <c r="H2" s="193"/>
      <c r="I2" s="193"/>
      <c r="J2" s="193"/>
      <c r="K2" s="193"/>
      <c r="L2" s="194"/>
    </row>
    <row r="3" spans="2:12" ht="15" x14ac:dyDescent="0.2">
      <c r="B3" s="195"/>
      <c r="C3" s="196" t="s">
        <v>181</v>
      </c>
      <c r="D3" s="197"/>
      <c r="E3" s="197"/>
      <c r="F3" s="197"/>
      <c r="G3" s="197"/>
      <c r="H3" s="197"/>
      <c r="I3" s="197"/>
      <c r="J3" s="197"/>
      <c r="K3" s="197"/>
      <c r="L3" s="198"/>
    </row>
    <row r="4" spans="2:12" ht="15" x14ac:dyDescent="0.2">
      <c r="B4" s="195"/>
      <c r="C4" s="196" t="s">
        <v>182</v>
      </c>
      <c r="D4" s="197"/>
      <c r="E4" s="197"/>
      <c r="F4" s="197"/>
      <c r="G4" s="197"/>
      <c r="H4" s="197"/>
      <c r="I4" s="197"/>
      <c r="J4" s="197"/>
      <c r="K4" s="197"/>
      <c r="L4" s="198"/>
    </row>
    <row r="5" spans="2:12" ht="15" x14ac:dyDescent="0.2">
      <c r="B5" s="195"/>
      <c r="C5" s="196"/>
      <c r="D5" s="197"/>
      <c r="E5" s="197"/>
      <c r="F5" s="197"/>
      <c r="G5" s="197"/>
      <c r="H5" s="197"/>
      <c r="I5" s="197"/>
      <c r="J5" s="197"/>
      <c r="K5" s="197"/>
      <c r="L5" s="198"/>
    </row>
    <row r="6" spans="2:12" ht="15" x14ac:dyDescent="0.2">
      <c r="B6" s="195"/>
      <c r="C6" s="196" t="s">
        <v>183</v>
      </c>
      <c r="D6" s="197"/>
      <c r="E6" s="197"/>
      <c r="F6" s="197"/>
      <c r="G6" s="197"/>
      <c r="H6" s="197"/>
      <c r="I6" s="197"/>
      <c r="J6" s="197"/>
      <c r="K6" s="197"/>
      <c r="L6" s="198"/>
    </row>
    <row r="7" spans="2:12" ht="15" x14ac:dyDescent="0.2">
      <c r="B7" s="195"/>
      <c r="C7" s="196"/>
      <c r="D7" s="197"/>
      <c r="E7" s="197"/>
      <c r="F7" s="197"/>
      <c r="G7" s="197"/>
      <c r="H7" s="197"/>
      <c r="I7" s="197"/>
      <c r="J7" s="197"/>
      <c r="K7" s="197"/>
      <c r="L7" s="198"/>
    </row>
    <row r="8" spans="2:12" ht="45.75" customHeight="1" x14ac:dyDescent="0.2">
      <c r="B8" s="195"/>
      <c r="C8" s="363" t="s">
        <v>198</v>
      </c>
      <c r="D8" s="363"/>
      <c r="E8" s="363"/>
      <c r="F8" s="363"/>
      <c r="G8" s="363"/>
      <c r="H8" s="363"/>
      <c r="I8" s="363"/>
      <c r="J8" s="363"/>
      <c r="K8" s="363"/>
      <c r="L8" s="198"/>
    </row>
    <row r="9" spans="2:12" ht="15" x14ac:dyDescent="0.2">
      <c r="B9" s="195"/>
      <c r="C9" s="199"/>
      <c r="D9" s="197"/>
      <c r="E9" s="197"/>
      <c r="F9" s="197"/>
      <c r="G9" s="197"/>
      <c r="H9" s="197"/>
      <c r="I9" s="197"/>
      <c r="J9" s="197"/>
      <c r="K9" s="197"/>
      <c r="L9" s="198"/>
    </row>
    <row r="10" spans="2:12" ht="15" x14ac:dyDescent="0.2">
      <c r="B10" s="195"/>
      <c r="C10" s="196" t="s">
        <v>184</v>
      </c>
      <c r="D10" s="197"/>
      <c r="E10" s="197"/>
      <c r="F10" s="197"/>
      <c r="G10" s="197"/>
      <c r="H10" s="197"/>
      <c r="I10" s="197"/>
      <c r="J10" s="197"/>
      <c r="K10" s="197"/>
      <c r="L10" s="198"/>
    </row>
    <row r="11" spans="2:12" ht="15" x14ac:dyDescent="0.2">
      <c r="B11" s="195"/>
      <c r="C11" s="199"/>
      <c r="D11" s="197"/>
      <c r="E11" s="197"/>
      <c r="F11" s="197"/>
      <c r="G11" s="197"/>
      <c r="H11" s="197"/>
      <c r="I11" s="197"/>
      <c r="J11" s="197"/>
      <c r="K11" s="197"/>
      <c r="L11" s="198"/>
    </row>
    <row r="12" spans="2:12" ht="15" x14ac:dyDescent="0.2">
      <c r="B12" s="195"/>
      <c r="C12" s="199" t="s">
        <v>199</v>
      </c>
      <c r="D12" s="197"/>
      <c r="E12" s="197"/>
      <c r="F12" s="197"/>
      <c r="G12" s="197"/>
      <c r="H12" s="197"/>
      <c r="I12" s="197"/>
      <c r="J12" s="197"/>
      <c r="K12" s="197"/>
      <c r="L12" s="198"/>
    </row>
    <row r="13" spans="2:12" ht="15" x14ac:dyDescent="0.2">
      <c r="B13" s="195"/>
      <c r="C13" s="199"/>
      <c r="D13" s="197"/>
      <c r="E13" s="197"/>
      <c r="F13" s="197"/>
      <c r="G13" s="197"/>
      <c r="H13" s="197"/>
      <c r="I13" s="197"/>
      <c r="J13" s="197"/>
      <c r="K13" s="197"/>
      <c r="L13" s="198"/>
    </row>
    <row r="14" spans="2:12" ht="15" x14ac:dyDescent="0.2">
      <c r="B14" s="195"/>
      <c r="C14" s="196" t="s">
        <v>185</v>
      </c>
      <c r="D14" s="197"/>
      <c r="E14" s="197"/>
      <c r="F14" s="197"/>
      <c r="G14" s="197"/>
      <c r="H14" s="197"/>
      <c r="I14" s="197"/>
      <c r="J14" s="197"/>
      <c r="K14" s="197"/>
      <c r="L14" s="198"/>
    </row>
    <row r="15" spans="2:12" ht="15" x14ac:dyDescent="0.2">
      <c r="B15" s="195"/>
      <c r="C15" s="199"/>
      <c r="D15" s="197"/>
      <c r="E15" s="197"/>
      <c r="F15" s="197"/>
      <c r="G15" s="197"/>
      <c r="H15" s="197"/>
      <c r="I15" s="197"/>
      <c r="J15" s="197"/>
      <c r="K15" s="197"/>
      <c r="L15" s="198"/>
    </row>
    <row r="16" spans="2:12" ht="15" x14ac:dyDescent="0.2">
      <c r="B16" s="195"/>
      <c r="C16" s="200" t="s">
        <v>186</v>
      </c>
      <c r="D16" s="197"/>
      <c r="E16" s="197"/>
      <c r="F16" s="197"/>
      <c r="G16" s="197"/>
      <c r="H16" s="197"/>
      <c r="I16" s="197"/>
      <c r="J16" s="197"/>
      <c r="K16" s="197"/>
      <c r="L16" s="198"/>
    </row>
    <row r="17" spans="2:12" ht="15" x14ac:dyDescent="0.2">
      <c r="B17" s="195"/>
      <c r="C17" s="201" t="s">
        <v>200</v>
      </c>
      <c r="D17" s="197"/>
      <c r="E17" s="197"/>
      <c r="F17" s="197"/>
      <c r="G17" s="197"/>
      <c r="H17" s="197"/>
      <c r="I17" s="197"/>
      <c r="J17" s="197"/>
      <c r="K17" s="197"/>
      <c r="L17" s="198"/>
    </row>
    <row r="18" spans="2:12" ht="15" x14ac:dyDescent="0.2">
      <c r="B18" s="195"/>
      <c r="C18" s="201" t="s">
        <v>187</v>
      </c>
      <c r="D18" s="197"/>
      <c r="E18" s="197"/>
      <c r="F18" s="197"/>
      <c r="G18" s="197"/>
      <c r="H18" s="197"/>
      <c r="I18" s="197"/>
      <c r="J18" s="197"/>
      <c r="K18" s="197"/>
      <c r="L18" s="198"/>
    </row>
    <row r="19" spans="2:12" x14ac:dyDescent="0.2">
      <c r="B19" s="195"/>
      <c r="C19" s="197"/>
      <c r="D19" s="197"/>
      <c r="E19" s="197"/>
      <c r="F19" s="197"/>
      <c r="G19" s="197"/>
      <c r="H19" s="197"/>
      <c r="I19" s="197"/>
      <c r="J19" s="197"/>
      <c r="K19" s="197"/>
      <c r="L19" s="198"/>
    </row>
    <row r="20" spans="2:12" x14ac:dyDescent="0.2">
      <c r="B20" s="195"/>
      <c r="C20" s="197"/>
      <c r="D20" s="197"/>
      <c r="E20" s="197"/>
      <c r="F20" s="197"/>
      <c r="G20" s="197"/>
      <c r="H20" s="197"/>
      <c r="I20" s="197"/>
      <c r="J20" s="197"/>
      <c r="K20" s="197"/>
      <c r="L20" s="198"/>
    </row>
    <row r="21" spans="2:12" x14ac:dyDescent="0.2">
      <c r="B21" s="195"/>
      <c r="C21" s="197"/>
      <c r="D21" s="197"/>
      <c r="E21" s="197"/>
      <c r="F21" s="197"/>
      <c r="G21" s="197"/>
      <c r="H21" s="197"/>
      <c r="I21" s="197"/>
      <c r="J21" s="197"/>
      <c r="K21" s="197"/>
      <c r="L21" s="198"/>
    </row>
    <row r="22" spans="2:12" x14ac:dyDescent="0.2">
      <c r="B22" s="195"/>
      <c r="C22" s="197"/>
      <c r="D22" s="197"/>
      <c r="E22" s="197"/>
      <c r="F22" s="197"/>
      <c r="G22" s="197"/>
      <c r="H22" s="197"/>
      <c r="I22" s="197"/>
      <c r="J22" s="197"/>
      <c r="K22" s="197"/>
      <c r="L22" s="198"/>
    </row>
    <row r="23" spans="2:12" x14ac:dyDescent="0.2">
      <c r="B23" s="195"/>
      <c r="C23" s="197"/>
      <c r="D23" s="197"/>
      <c r="E23" s="197"/>
      <c r="F23" s="197"/>
      <c r="G23" s="197"/>
      <c r="H23" s="197"/>
      <c r="I23" s="197"/>
      <c r="J23" s="197"/>
      <c r="K23" s="197"/>
      <c r="L23" s="198"/>
    </row>
    <row r="24" spans="2:12" ht="15" x14ac:dyDescent="0.2">
      <c r="B24" s="195"/>
      <c r="C24" s="364" t="s">
        <v>201</v>
      </c>
      <c r="D24" s="364"/>
      <c r="E24" s="364"/>
      <c r="F24" s="364"/>
      <c r="G24" s="364"/>
      <c r="H24" s="364"/>
      <c r="I24" s="364"/>
      <c r="J24" s="364"/>
      <c r="K24" s="364"/>
      <c r="L24" s="198"/>
    </row>
    <row r="25" spans="2:12" x14ac:dyDescent="0.2">
      <c r="B25" s="195"/>
      <c r="C25" s="197"/>
      <c r="D25" s="197" t="s">
        <v>202</v>
      </c>
      <c r="E25" s="197"/>
      <c r="F25" s="197"/>
      <c r="G25" s="197"/>
      <c r="H25" s="197"/>
      <c r="I25" s="197"/>
      <c r="J25" s="197"/>
      <c r="K25" s="197"/>
      <c r="L25" s="198"/>
    </row>
    <row r="26" spans="2:12" x14ac:dyDescent="0.2">
      <c r="B26" s="195"/>
      <c r="C26" s="197"/>
      <c r="D26" s="197"/>
      <c r="E26" s="197"/>
      <c r="F26" s="197"/>
      <c r="G26" s="197"/>
      <c r="H26" s="197"/>
      <c r="I26" s="197"/>
      <c r="J26" s="197"/>
      <c r="K26" s="197"/>
      <c r="L26" s="198"/>
    </row>
    <row r="27" spans="2:12" x14ac:dyDescent="0.2">
      <c r="B27" s="195"/>
      <c r="C27" s="197"/>
      <c r="D27" s="197"/>
      <c r="E27" s="197"/>
      <c r="F27" s="197"/>
      <c r="G27" s="197"/>
      <c r="H27" s="197"/>
      <c r="I27" s="197"/>
      <c r="J27" s="197"/>
      <c r="K27" s="197"/>
      <c r="L27" s="198"/>
    </row>
    <row r="28" spans="2:12" x14ac:dyDescent="0.2">
      <c r="B28" s="195"/>
      <c r="C28" s="197"/>
      <c r="D28" s="197"/>
      <c r="E28" s="197"/>
      <c r="F28" s="197"/>
      <c r="G28" s="197"/>
      <c r="H28" s="197"/>
      <c r="I28" s="197"/>
      <c r="J28" s="197"/>
      <c r="K28" s="197"/>
      <c r="L28" s="198"/>
    </row>
    <row r="29" spans="2:12" x14ac:dyDescent="0.2">
      <c r="B29" s="195"/>
      <c r="C29" s="197"/>
      <c r="D29" s="197"/>
      <c r="E29" s="197"/>
      <c r="F29" s="197"/>
      <c r="G29" s="197"/>
      <c r="H29" s="197"/>
      <c r="I29" s="197"/>
      <c r="J29" s="197"/>
      <c r="K29" s="197"/>
      <c r="L29" s="198"/>
    </row>
    <row r="30" spans="2:12" x14ac:dyDescent="0.2">
      <c r="B30" s="195"/>
      <c r="C30" s="197"/>
      <c r="D30" s="197"/>
      <c r="E30" s="197"/>
      <c r="F30" s="197"/>
      <c r="G30" s="197"/>
      <c r="H30" s="197"/>
      <c r="I30" s="197"/>
      <c r="J30" s="197"/>
      <c r="K30" s="197"/>
      <c r="L30" s="198"/>
    </row>
    <row r="31" spans="2:12" ht="30.75" customHeight="1" x14ac:dyDescent="0.2">
      <c r="B31" s="195"/>
      <c r="C31" s="361" t="s">
        <v>217</v>
      </c>
      <c r="D31" s="362"/>
      <c r="E31" s="362"/>
      <c r="F31" s="362"/>
      <c r="G31" s="362"/>
      <c r="H31" s="362"/>
      <c r="I31" s="362"/>
      <c r="J31" s="362"/>
      <c r="K31" s="197"/>
      <c r="L31" s="198"/>
    </row>
    <row r="32" spans="2:12" ht="15.75" x14ac:dyDescent="0.25">
      <c r="B32" s="195"/>
      <c r="C32" s="197"/>
      <c r="D32" s="202"/>
      <c r="E32" s="197"/>
      <c r="F32" s="197"/>
      <c r="G32" s="197"/>
      <c r="H32" s="197"/>
      <c r="I32" s="197"/>
      <c r="J32" s="197"/>
      <c r="K32" s="197"/>
      <c r="L32" s="198"/>
    </row>
    <row r="33" spans="2:12" x14ac:dyDescent="0.2">
      <c r="B33" s="195"/>
      <c r="C33" s="197"/>
      <c r="D33" s="197"/>
      <c r="E33" s="197"/>
      <c r="F33" s="197"/>
      <c r="G33" s="197"/>
      <c r="H33" s="197"/>
      <c r="I33" s="197"/>
      <c r="J33" s="197"/>
      <c r="K33" s="197"/>
      <c r="L33" s="198"/>
    </row>
    <row r="34" spans="2:12" x14ac:dyDescent="0.2">
      <c r="B34" s="195"/>
      <c r="C34" s="197"/>
      <c r="D34" s="197"/>
      <c r="E34" s="197"/>
      <c r="F34" s="197"/>
      <c r="G34" s="197"/>
      <c r="H34" s="197"/>
      <c r="I34" s="197"/>
      <c r="J34" s="197"/>
      <c r="K34" s="197"/>
      <c r="L34" s="198"/>
    </row>
    <row r="35" spans="2:12" x14ac:dyDescent="0.2">
      <c r="B35" s="195"/>
      <c r="C35" s="197"/>
      <c r="D35" s="197"/>
      <c r="E35" s="197"/>
      <c r="F35" s="197"/>
      <c r="G35" s="197"/>
      <c r="H35" s="197"/>
      <c r="I35" s="197"/>
      <c r="J35" s="197"/>
      <c r="K35" s="197"/>
      <c r="L35" s="198"/>
    </row>
    <row r="36" spans="2:12" x14ac:dyDescent="0.2">
      <c r="B36" s="195"/>
      <c r="C36" s="197"/>
      <c r="D36" s="197"/>
      <c r="E36" s="197"/>
      <c r="F36" s="197"/>
      <c r="G36" s="197"/>
      <c r="H36" s="197"/>
      <c r="I36" s="197"/>
      <c r="J36" s="197"/>
      <c r="K36" s="197"/>
      <c r="L36" s="198"/>
    </row>
    <row r="37" spans="2:12" x14ac:dyDescent="0.2">
      <c r="B37" s="195"/>
      <c r="C37" s="197"/>
      <c r="D37" s="197"/>
      <c r="E37" s="197"/>
      <c r="F37" s="197"/>
      <c r="G37" s="197"/>
      <c r="H37" s="197"/>
      <c r="I37" s="197"/>
      <c r="J37" s="197"/>
      <c r="K37" s="197"/>
      <c r="L37" s="198"/>
    </row>
    <row r="38" spans="2:12" x14ac:dyDescent="0.2">
      <c r="B38" s="195"/>
      <c r="C38" s="197"/>
      <c r="D38" s="197"/>
      <c r="E38" s="197"/>
      <c r="F38" s="197"/>
      <c r="G38" s="197"/>
      <c r="H38" s="197"/>
      <c r="I38" s="197"/>
      <c r="J38" s="197"/>
      <c r="K38" s="197"/>
      <c r="L38" s="198"/>
    </row>
    <row r="39" spans="2:12" x14ac:dyDescent="0.2">
      <c r="B39" s="195"/>
      <c r="C39" s="197"/>
      <c r="D39" s="197"/>
      <c r="E39" s="197"/>
      <c r="F39" s="197"/>
      <c r="G39" s="197"/>
      <c r="H39" s="197"/>
      <c r="I39" s="197"/>
      <c r="J39" s="197"/>
      <c r="K39" s="197"/>
      <c r="L39" s="198"/>
    </row>
    <row r="40" spans="2:12" x14ac:dyDescent="0.2">
      <c r="B40" s="195"/>
      <c r="C40" s="197"/>
      <c r="D40" s="197"/>
      <c r="E40" s="197"/>
      <c r="F40" s="197"/>
      <c r="G40" s="197"/>
      <c r="H40" s="197"/>
      <c r="I40" s="197"/>
      <c r="J40" s="197"/>
      <c r="K40" s="197"/>
      <c r="L40" s="198"/>
    </row>
    <row r="41" spans="2:12" x14ac:dyDescent="0.2">
      <c r="B41" s="195"/>
      <c r="C41" s="197"/>
      <c r="D41" s="197"/>
      <c r="E41" s="197"/>
      <c r="F41" s="197"/>
      <c r="G41" s="197"/>
      <c r="H41" s="197"/>
      <c r="I41" s="197"/>
      <c r="J41" s="197"/>
      <c r="K41" s="197"/>
      <c r="L41" s="198"/>
    </row>
    <row r="42" spans="2:12" x14ac:dyDescent="0.2">
      <c r="B42" s="195"/>
      <c r="C42" s="197"/>
      <c r="D42" s="197"/>
      <c r="E42" s="197"/>
      <c r="F42" s="197"/>
      <c r="G42" s="197"/>
      <c r="H42" s="197"/>
      <c r="I42" s="197"/>
      <c r="J42" s="197"/>
      <c r="K42" s="197"/>
      <c r="L42" s="198"/>
    </row>
    <row r="43" spans="2:12" x14ac:dyDescent="0.2">
      <c r="B43" s="195"/>
      <c r="C43" s="197"/>
      <c r="D43" s="197"/>
      <c r="E43" s="197"/>
      <c r="F43" s="197"/>
      <c r="G43" s="197"/>
      <c r="H43" s="197"/>
      <c r="I43" s="197"/>
      <c r="J43" s="197"/>
      <c r="K43" s="197"/>
      <c r="L43" s="198"/>
    </row>
    <row r="44" spans="2:12" x14ac:dyDescent="0.2">
      <c r="B44" s="195"/>
      <c r="C44" s="197"/>
      <c r="D44" s="197"/>
      <c r="E44" s="197"/>
      <c r="F44" s="197"/>
      <c r="G44" s="197"/>
      <c r="H44" s="197"/>
      <c r="I44" s="197"/>
      <c r="J44" s="197"/>
      <c r="K44" s="197"/>
      <c r="L44" s="198"/>
    </row>
    <row r="45" spans="2:12" ht="15" x14ac:dyDescent="0.2">
      <c r="B45" s="195"/>
      <c r="C45" s="364" t="s">
        <v>204</v>
      </c>
      <c r="D45" s="364"/>
      <c r="E45" s="364"/>
      <c r="F45" s="364"/>
      <c r="G45" s="364"/>
      <c r="H45" s="364"/>
      <c r="I45" s="364"/>
      <c r="J45" s="364"/>
      <c r="K45" s="364"/>
      <c r="L45" s="198"/>
    </row>
    <row r="46" spans="2:12" x14ac:dyDescent="0.2">
      <c r="B46" s="195"/>
      <c r="C46" s="197"/>
      <c r="D46" s="197" t="s">
        <v>188</v>
      </c>
      <c r="E46" s="197"/>
      <c r="F46" s="197"/>
      <c r="G46" s="197"/>
      <c r="H46" s="197"/>
      <c r="I46" s="197"/>
      <c r="J46" s="197"/>
      <c r="K46" s="197"/>
      <c r="L46" s="198"/>
    </row>
    <row r="47" spans="2:12" x14ac:dyDescent="0.2">
      <c r="B47" s="195"/>
      <c r="C47" s="197"/>
      <c r="D47" s="197"/>
      <c r="E47" s="197"/>
      <c r="F47" s="197"/>
      <c r="G47" s="197"/>
      <c r="H47" s="197"/>
      <c r="I47" s="197"/>
      <c r="J47" s="197"/>
      <c r="K47" s="197"/>
      <c r="L47" s="198"/>
    </row>
    <row r="48" spans="2:12" x14ac:dyDescent="0.2">
      <c r="B48" s="195"/>
      <c r="C48" s="197"/>
      <c r="D48" s="197"/>
      <c r="E48" s="197"/>
      <c r="F48" s="197"/>
      <c r="G48" s="197"/>
      <c r="H48" s="197"/>
      <c r="I48" s="197"/>
      <c r="J48" s="197"/>
      <c r="K48" s="197"/>
      <c r="L48" s="198"/>
    </row>
    <row r="49" spans="2:12" x14ac:dyDescent="0.2">
      <c r="B49" s="195"/>
      <c r="C49" s="197"/>
      <c r="D49" s="197"/>
      <c r="E49" s="197"/>
      <c r="F49" s="197"/>
      <c r="G49" s="197"/>
      <c r="H49" s="197"/>
      <c r="I49" s="197"/>
      <c r="J49" s="197"/>
      <c r="K49" s="197"/>
      <c r="L49" s="198"/>
    </row>
    <row r="50" spans="2:12" x14ac:dyDescent="0.2">
      <c r="B50" s="195"/>
      <c r="C50" s="197"/>
      <c r="D50" s="197"/>
      <c r="E50" s="197"/>
      <c r="F50" s="197"/>
      <c r="G50" s="197"/>
      <c r="H50" s="197"/>
      <c r="I50" s="197"/>
      <c r="J50" s="197"/>
      <c r="K50" s="197"/>
      <c r="L50" s="198"/>
    </row>
    <row r="51" spans="2:12" x14ac:dyDescent="0.2">
      <c r="B51" s="195"/>
      <c r="C51" s="197"/>
      <c r="D51" s="197"/>
      <c r="E51" s="197"/>
      <c r="F51" s="197"/>
      <c r="G51" s="197"/>
      <c r="H51" s="197"/>
      <c r="I51" s="197"/>
      <c r="J51" s="197"/>
      <c r="K51" s="197"/>
      <c r="L51" s="198"/>
    </row>
    <row r="52" spans="2:12" ht="15" x14ac:dyDescent="0.2">
      <c r="B52" s="195"/>
      <c r="C52" s="201" t="s">
        <v>189</v>
      </c>
      <c r="D52" s="365"/>
      <c r="E52" s="365"/>
      <c r="F52" s="365"/>
      <c r="G52" s="365"/>
      <c r="H52" s="365"/>
      <c r="I52" s="365"/>
      <c r="J52" s="365"/>
      <c r="K52" s="365"/>
      <c r="L52" s="198"/>
    </row>
    <row r="53" spans="2:12" ht="15" customHeight="1" x14ac:dyDescent="0.2">
      <c r="B53" s="195"/>
      <c r="C53" s="361" t="s">
        <v>203</v>
      </c>
      <c r="D53" s="362"/>
      <c r="E53" s="362"/>
      <c r="F53" s="362"/>
      <c r="G53" s="362"/>
      <c r="H53" s="362"/>
      <c r="I53" s="362"/>
      <c r="J53" s="362"/>
      <c r="K53" s="197"/>
      <c r="L53" s="198"/>
    </row>
    <row r="54" spans="2:12" ht="15.75" x14ac:dyDescent="0.25">
      <c r="B54" s="195"/>
      <c r="C54" s="197"/>
      <c r="D54" s="202"/>
      <c r="E54" s="197"/>
      <c r="F54" s="197"/>
      <c r="G54" s="197"/>
      <c r="H54" s="197"/>
      <c r="I54" s="197"/>
      <c r="J54" s="197"/>
      <c r="K54" s="197"/>
      <c r="L54" s="198"/>
    </row>
    <row r="55" spans="2:12" x14ac:dyDescent="0.2">
      <c r="B55" s="195"/>
      <c r="C55" s="197"/>
      <c r="D55" s="197"/>
      <c r="E55" s="197"/>
      <c r="F55" s="197"/>
      <c r="G55" s="197"/>
      <c r="H55" s="197"/>
      <c r="I55" s="197"/>
      <c r="J55" s="197"/>
      <c r="K55" s="197"/>
      <c r="L55" s="198"/>
    </row>
    <row r="56" spans="2:12" x14ac:dyDescent="0.2">
      <c r="B56" s="195"/>
      <c r="C56" s="197"/>
      <c r="D56" s="197"/>
      <c r="E56" s="197"/>
      <c r="F56" s="197"/>
      <c r="G56" s="197"/>
      <c r="H56" s="197"/>
      <c r="I56" s="197"/>
      <c r="J56" s="197"/>
      <c r="K56" s="197"/>
      <c r="L56" s="198"/>
    </row>
    <row r="57" spans="2:12" x14ac:dyDescent="0.2">
      <c r="B57" s="195"/>
      <c r="C57" s="197"/>
      <c r="D57" s="197"/>
      <c r="E57" s="197"/>
      <c r="F57" s="197"/>
      <c r="G57" s="197"/>
      <c r="H57" s="197"/>
      <c r="I57" s="197"/>
      <c r="J57" s="197"/>
      <c r="K57" s="197"/>
      <c r="L57" s="198"/>
    </row>
    <row r="58" spans="2:12" x14ac:dyDescent="0.2">
      <c r="B58" s="195"/>
      <c r="C58" s="197"/>
      <c r="D58" s="197"/>
      <c r="E58" s="197"/>
      <c r="F58" s="197"/>
      <c r="G58" s="197"/>
      <c r="H58" s="197"/>
      <c r="I58" s="197"/>
      <c r="J58" s="197"/>
      <c r="K58" s="197"/>
      <c r="L58" s="198"/>
    </row>
    <row r="59" spans="2:12" x14ac:dyDescent="0.2">
      <c r="B59" s="195"/>
      <c r="C59" s="197"/>
      <c r="D59" s="197"/>
      <c r="E59" s="197"/>
      <c r="F59" s="197"/>
      <c r="G59" s="197"/>
      <c r="H59" s="197"/>
      <c r="I59" s="197"/>
      <c r="J59" s="197"/>
      <c r="K59" s="197"/>
      <c r="L59" s="198"/>
    </row>
    <row r="60" spans="2:12" x14ac:dyDescent="0.2">
      <c r="B60" s="195"/>
      <c r="C60" s="197"/>
      <c r="D60" s="197"/>
      <c r="E60" s="197"/>
      <c r="F60" s="197"/>
      <c r="G60" s="197"/>
      <c r="H60" s="197"/>
      <c r="I60" s="197"/>
      <c r="J60" s="197"/>
      <c r="K60" s="197"/>
      <c r="L60" s="198"/>
    </row>
    <row r="61" spans="2:12" x14ac:dyDescent="0.2">
      <c r="B61" s="195"/>
      <c r="C61" s="197"/>
      <c r="D61" s="197"/>
      <c r="E61" s="197"/>
      <c r="F61" s="197"/>
      <c r="G61" s="197"/>
      <c r="H61" s="197"/>
      <c r="I61" s="197"/>
      <c r="J61" s="197"/>
      <c r="K61" s="197"/>
      <c r="L61" s="198"/>
    </row>
    <row r="62" spans="2:12" x14ac:dyDescent="0.2">
      <c r="B62" s="195"/>
      <c r="C62" s="197"/>
      <c r="D62" s="197"/>
      <c r="E62" s="197"/>
      <c r="F62" s="197"/>
      <c r="G62" s="197"/>
      <c r="H62" s="197"/>
      <c r="I62" s="197"/>
      <c r="J62" s="197"/>
      <c r="K62" s="197"/>
      <c r="L62" s="198"/>
    </row>
    <row r="63" spans="2:12" x14ac:dyDescent="0.2">
      <c r="B63" s="195"/>
      <c r="C63" s="197"/>
      <c r="D63" s="197"/>
      <c r="E63" s="197"/>
      <c r="F63" s="197"/>
      <c r="G63" s="197"/>
      <c r="H63" s="197"/>
      <c r="I63" s="197"/>
      <c r="J63" s="197"/>
      <c r="K63" s="197"/>
      <c r="L63" s="198"/>
    </row>
    <row r="64" spans="2:12" x14ac:dyDescent="0.2">
      <c r="B64" s="195"/>
      <c r="C64" s="197"/>
      <c r="D64" s="197"/>
      <c r="E64" s="197"/>
      <c r="F64" s="197"/>
      <c r="G64" s="197"/>
      <c r="H64" s="197"/>
      <c r="I64" s="197"/>
      <c r="J64" s="197"/>
      <c r="K64" s="197"/>
      <c r="L64" s="198"/>
    </row>
    <row r="65" spans="2:12" x14ac:dyDescent="0.2">
      <c r="B65" s="195"/>
      <c r="C65" s="197"/>
      <c r="D65" s="197"/>
      <c r="E65" s="197"/>
      <c r="F65" s="197"/>
      <c r="G65" s="197"/>
      <c r="H65" s="197"/>
      <c r="I65" s="197"/>
      <c r="J65" s="197"/>
      <c r="K65" s="197"/>
      <c r="L65" s="198"/>
    </row>
    <row r="66" spans="2:12" x14ac:dyDescent="0.2">
      <c r="B66" s="195"/>
      <c r="C66" s="197"/>
      <c r="D66" s="197"/>
      <c r="E66" s="197"/>
      <c r="F66" s="197"/>
      <c r="G66" s="197"/>
      <c r="H66" s="197"/>
      <c r="I66" s="197"/>
      <c r="J66" s="197"/>
      <c r="K66" s="197"/>
      <c r="L66" s="198"/>
    </row>
    <row r="67" spans="2:12" ht="36" customHeight="1" x14ac:dyDescent="0.2">
      <c r="B67" s="195"/>
      <c r="C67" s="366" t="s">
        <v>190</v>
      </c>
      <c r="D67" s="366"/>
      <c r="E67" s="366"/>
      <c r="F67" s="366"/>
      <c r="G67" s="366"/>
      <c r="H67" s="366"/>
      <c r="I67" s="366"/>
      <c r="J67" s="366"/>
      <c r="K67" s="366"/>
      <c r="L67" s="198"/>
    </row>
    <row r="68" spans="2:12" x14ac:dyDescent="0.2">
      <c r="B68" s="195"/>
      <c r="C68" s="197"/>
      <c r="D68" s="197"/>
      <c r="E68" s="197"/>
      <c r="F68" s="197"/>
      <c r="G68" s="197"/>
      <c r="H68" s="197"/>
      <c r="I68" s="197"/>
      <c r="J68" s="197"/>
      <c r="K68" s="197"/>
      <c r="L68" s="198"/>
    </row>
    <row r="69" spans="2:12" x14ac:dyDescent="0.2">
      <c r="B69" s="195"/>
      <c r="C69" s="197"/>
      <c r="D69" s="197"/>
      <c r="E69" s="197"/>
      <c r="F69" s="197"/>
      <c r="G69" s="197"/>
      <c r="H69" s="197"/>
      <c r="I69" s="197"/>
      <c r="J69" s="197"/>
      <c r="K69" s="197"/>
      <c r="L69" s="198"/>
    </row>
    <row r="70" spans="2:12" ht="15" x14ac:dyDescent="0.2">
      <c r="B70" s="195"/>
      <c r="C70" s="196" t="s">
        <v>191</v>
      </c>
      <c r="E70" s="197"/>
      <c r="F70" s="197"/>
      <c r="G70" s="197"/>
      <c r="H70" s="197"/>
      <c r="I70" s="197"/>
      <c r="J70" s="197"/>
      <c r="K70" s="197"/>
      <c r="L70" s="198"/>
    </row>
    <row r="71" spans="2:12" ht="15" x14ac:dyDescent="0.2">
      <c r="B71" s="195"/>
      <c r="C71" s="196"/>
      <c r="E71" s="197"/>
      <c r="F71" s="197"/>
      <c r="G71" s="197"/>
      <c r="H71" s="197"/>
      <c r="I71" s="197"/>
      <c r="J71" s="197"/>
      <c r="K71" s="197"/>
      <c r="L71" s="198"/>
    </row>
    <row r="72" spans="2:12" ht="15" x14ac:dyDescent="0.2">
      <c r="B72" s="195"/>
      <c r="C72" s="199" t="s">
        <v>192</v>
      </c>
      <c r="E72" s="197"/>
      <c r="F72" s="197"/>
      <c r="G72" s="197"/>
      <c r="H72" s="197"/>
      <c r="I72" s="197"/>
      <c r="J72" s="197"/>
      <c r="K72" s="197"/>
      <c r="L72" s="198"/>
    </row>
    <row r="73" spans="2:12" ht="15" x14ac:dyDescent="0.2">
      <c r="B73" s="195"/>
      <c r="C73" s="199"/>
      <c r="E73" s="197"/>
      <c r="F73" s="197"/>
      <c r="G73" s="197"/>
      <c r="H73" s="197"/>
      <c r="I73" s="197"/>
      <c r="J73" s="197"/>
      <c r="K73" s="197"/>
      <c r="L73" s="198"/>
    </row>
    <row r="74" spans="2:12" ht="34.5" customHeight="1" x14ac:dyDescent="0.2">
      <c r="B74" s="195"/>
      <c r="C74" s="367" t="s">
        <v>193</v>
      </c>
      <c r="D74" s="367"/>
      <c r="E74" s="367"/>
      <c r="F74" s="367"/>
      <c r="G74" s="367"/>
      <c r="H74" s="367"/>
      <c r="I74" s="367"/>
      <c r="J74" s="367"/>
      <c r="K74" s="367"/>
      <c r="L74" s="198"/>
    </row>
    <row r="75" spans="2:12" ht="15" x14ac:dyDescent="0.2">
      <c r="B75" s="195"/>
      <c r="C75" s="199"/>
      <c r="E75" s="197"/>
      <c r="F75" s="197"/>
      <c r="G75" s="197"/>
      <c r="H75" s="197"/>
      <c r="I75" s="197"/>
      <c r="J75" s="197"/>
      <c r="K75" s="197"/>
      <c r="L75" s="198"/>
    </row>
    <row r="76" spans="2:12" ht="15" x14ac:dyDescent="0.2">
      <c r="B76" s="195"/>
      <c r="C76" s="199" t="s">
        <v>211</v>
      </c>
      <c r="E76" s="197"/>
      <c r="F76" s="197"/>
      <c r="G76" s="197"/>
      <c r="H76" s="197"/>
      <c r="I76" s="197"/>
      <c r="J76" s="197"/>
      <c r="K76" s="197"/>
      <c r="L76" s="198"/>
    </row>
    <row r="77" spans="2:12" ht="15" x14ac:dyDescent="0.2">
      <c r="B77" s="195"/>
      <c r="C77" s="199"/>
      <c r="E77" s="197"/>
      <c r="F77" s="197"/>
      <c r="G77" s="197"/>
      <c r="H77" s="197"/>
      <c r="I77" s="197"/>
      <c r="J77" s="197"/>
      <c r="K77" s="197"/>
      <c r="L77" s="198"/>
    </row>
    <row r="78" spans="2:12" ht="15" x14ac:dyDescent="0.2">
      <c r="B78" s="195"/>
      <c r="C78" s="199" t="s">
        <v>194</v>
      </c>
      <c r="E78" s="197"/>
      <c r="F78" s="197"/>
      <c r="G78" s="197"/>
      <c r="H78" s="197"/>
      <c r="I78" s="197"/>
      <c r="J78" s="197"/>
      <c r="K78" s="197"/>
      <c r="L78" s="198"/>
    </row>
    <row r="79" spans="2:12" x14ac:dyDescent="0.2">
      <c r="B79" s="195"/>
      <c r="L79" s="198"/>
    </row>
    <row r="80" spans="2:12" ht="15" x14ac:dyDescent="0.2">
      <c r="B80" s="195"/>
      <c r="C80" s="199" t="s">
        <v>206</v>
      </c>
      <c r="D80" s="197"/>
      <c r="E80" s="197"/>
      <c r="F80" s="197"/>
      <c r="G80" s="197"/>
      <c r="H80" s="197"/>
      <c r="I80" s="197"/>
      <c r="J80" s="197"/>
      <c r="L80" s="198"/>
    </row>
    <row r="81" spans="2:12" ht="15" x14ac:dyDescent="0.2">
      <c r="B81" s="195"/>
      <c r="C81" s="199" t="s">
        <v>207</v>
      </c>
      <c r="D81" s="197"/>
      <c r="E81" s="197"/>
      <c r="F81" s="197"/>
      <c r="G81" s="197"/>
      <c r="H81" s="197"/>
      <c r="I81" s="197"/>
      <c r="J81" s="197"/>
      <c r="L81" s="198"/>
    </row>
    <row r="82" spans="2:12" ht="15" x14ac:dyDescent="0.2">
      <c r="B82" s="195"/>
      <c r="C82" s="199" t="s">
        <v>209</v>
      </c>
      <c r="D82" s="197"/>
      <c r="E82" s="197"/>
      <c r="F82" s="197"/>
      <c r="G82" s="197"/>
      <c r="H82" s="197"/>
      <c r="I82" s="197"/>
      <c r="J82" s="197"/>
      <c r="L82" s="198"/>
    </row>
    <row r="83" spans="2:12" ht="15" x14ac:dyDescent="0.2">
      <c r="B83" s="195"/>
      <c r="C83" s="367" t="s">
        <v>208</v>
      </c>
      <c r="D83" s="367"/>
      <c r="E83" s="367"/>
      <c r="F83" s="367"/>
      <c r="G83" s="367"/>
      <c r="H83" s="367"/>
      <c r="I83" s="367"/>
      <c r="J83" s="367"/>
      <c r="K83" s="367"/>
      <c r="L83" s="198"/>
    </row>
    <row r="84" spans="2:12" ht="35.25" customHeight="1" x14ac:dyDescent="0.2">
      <c r="B84" s="203"/>
      <c r="C84" s="363" t="s">
        <v>210</v>
      </c>
      <c r="D84" s="363"/>
      <c r="E84" s="363"/>
      <c r="F84" s="363"/>
      <c r="G84" s="363"/>
      <c r="H84" s="363"/>
      <c r="I84" s="363"/>
      <c r="J84" s="363"/>
      <c r="K84" s="363"/>
      <c r="L84" s="204"/>
    </row>
    <row r="85" spans="2:12" ht="15" x14ac:dyDescent="0.2">
      <c r="B85" s="203"/>
      <c r="C85" s="199" t="s">
        <v>212</v>
      </c>
      <c r="D85" s="205"/>
      <c r="E85" s="205"/>
      <c r="F85" s="205"/>
      <c r="G85" s="205"/>
      <c r="H85" s="205"/>
      <c r="I85" s="205"/>
      <c r="J85" s="205"/>
      <c r="L85" s="204"/>
    </row>
    <row r="86" spans="2:12" ht="15.75" x14ac:dyDescent="0.25">
      <c r="B86" s="203"/>
      <c r="C86" s="209" t="s">
        <v>213</v>
      </c>
      <c r="D86" s="199"/>
      <c r="E86" s="205"/>
      <c r="F86" s="205"/>
      <c r="G86" s="205"/>
      <c r="H86" s="205"/>
      <c r="I86" s="205"/>
      <c r="J86" s="205"/>
      <c r="L86" s="204"/>
    </row>
    <row r="87" spans="2:12" ht="15" x14ac:dyDescent="0.2">
      <c r="B87" s="203"/>
      <c r="D87" s="199" t="s">
        <v>214</v>
      </c>
      <c r="E87" s="205"/>
      <c r="F87" s="205"/>
      <c r="G87" s="205"/>
      <c r="H87" s="205"/>
      <c r="I87" s="205"/>
      <c r="J87" s="205"/>
      <c r="K87" s="205"/>
      <c r="L87" s="204"/>
    </row>
    <row r="88" spans="2:12" ht="15" x14ac:dyDescent="0.2">
      <c r="B88" s="203"/>
      <c r="C88" s="199"/>
      <c r="E88" s="205"/>
      <c r="F88" s="205"/>
      <c r="G88" s="205"/>
      <c r="H88" s="205"/>
      <c r="I88" s="205"/>
      <c r="J88" s="205"/>
      <c r="K88" s="205"/>
      <c r="L88" s="204"/>
    </row>
    <row r="89" spans="2:12" ht="15" x14ac:dyDescent="0.2">
      <c r="B89" s="203"/>
      <c r="C89" s="196" t="s">
        <v>195</v>
      </c>
      <c r="E89" s="205"/>
      <c r="F89" s="205"/>
      <c r="G89" s="205"/>
      <c r="H89" s="205"/>
      <c r="I89" s="205"/>
      <c r="J89" s="205"/>
      <c r="K89" s="205"/>
      <c r="L89" s="204"/>
    </row>
    <row r="90" spans="2:12" ht="93.75" customHeight="1" x14ac:dyDescent="0.2">
      <c r="B90" s="203"/>
      <c r="C90" s="367" t="s">
        <v>237</v>
      </c>
      <c r="D90" s="367"/>
      <c r="E90" s="367"/>
      <c r="F90" s="367"/>
      <c r="G90" s="367"/>
      <c r="H90" s="367"/>
      <c r="I90" s="367"/>
      <c r="J90" s="367"/>
      <c r="K90" s="367"/>
      <c r="L90" s="204"/>
    </row>
    <row r="91" spans="2:12" ht="15" x14ac:dyDescent="0.2">
      <c r="B91" s="203"/>
      <c r="C91" s="199"/>
      <c r="E91" s="205"/>
      <c r="F91" s="205"/>
      <c r="G91" s="205"/>
      <c r="H91" s="205"/>
      <c r="I91" s="205"/>
      <c r="J91" s="205"/>
      <c r="K91" s="205"/>
      <c r="L91" s="204"/>
    </row>
    <row r="92" spans="2:12" ht="64.5" customHeight="1" x14ac:dyDescent="0.2">
      <c r="B92" s="203"/>
      <c r="C92" s="368" t="s">
        <v>196</v>
      </c>
      <c r="D92" s="368"/>
      <c r="E92" s="368"/>
      <c r="F92" s="368"/>
      <c r="G92" s="368"/>
      <c r="H92" s="368"/>
      <c r="I92" s="368"/>
      <c r="J92" s="368"/>
      <c r="K92" s="368"/>
      <c r="L92" s="204"/>
    </row>
    <row r="93" spans="2:12" ht="15" thickBot="1" x14ac:dyDescent="0.25">
      <c r="B93" s="206"/>
      <c r="C93" s="207"/>
      <c r="D93" s="207"/>
      <c r="E93" s="207"/>
      <c r="F93" s="207"/>
      <c r="G93" s="207"/>
      <c r="H93" s="207"/>
      <c r="I93" s="207"/>
      <c r="J93" s="207"/>
      <c r="K93" s="207"/>
      <c r="L93" s="208"/>
    </row>
  </sheetData>
  <sheetProtection password="AD4E" sheet="1" objects="1" scenarios="1" selectLockedCells="1" selectUnlockedCells="1"/>
  <mergeCells count="12">
    <mergeCell ref="C67:K67"/>
    <mergeCell ref="C74:K74"/>
    <mergeCell ref="C83:K83"/>
    <mergeCell ref="C90:K90"/>
    <mergeCell ref="C92:K92"/>
    <mergeCell ref="C84:K84"/>
    <mergeCell ref="C53:J53"/>
    <mergeCell ref="C8:K8"/>
    <mergeCell ref="C24:K24"/>
    <mergeCell ref="C31:J31"/>
    <mergeCell ref="C45:K45"/>
    <mergeCell ref="D52:K52"/>
  </mergeCells>
  <phoneticPr fontId="61"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L41"/>
  <sheetViews>
    <sheetView tabSelected="1" topLeftCell="B1" zoomScaleNormal="100" workbookViewId="0">
      <selection activeCell="U15" sqref="U15"/>
    </sheetView>
  </sheetViews>
  <sheetFormatPr defaultRowHeight="15.75" x14ac:dyDescent="0.25"/>
  <cols>
    <col min="1" max="1" width="9.140625" hidden="1" customWidth="1"/>
    <col min="5" max="5" width="24.42578125" bestFit="1" customWidth="1"/>
    <col min="6" max="6" width="9.140625" hidden="1" customWidth="1"/>
    <col min="8" max="8" width="12.28515625" bestFit="1" customWidth="1"/>
    <col min="19" max="19" width="9.7109375" bestFit="1" customWidth="1"/>
  </cols>
  <sheetData>
    <row r="1" spans="1:142" s="12" customFormat="1" ht="14.25" customHeight="1" x14ac:dyDescent="0.5">
      <c r="A1" s="7"/>
      <c r="B1" s="7"/>
      <c r="C1" s="8"/>
      <c r="D1" s="369" t="s">
        <v>168</v>
      </c>
      <c r="E1" s="369"/>
      <c r="F1" s="369"/>
      <c r="G1" s="369"/>
      <c r="H1" s="369"/>
      <c r="I1" s="369"/>
      <c r="J1" s="369"/>
      <c r="K1" s="369"/>
      <c r="L1" s="369"/>
      <c r="M1" s="369"/>
      <c r="N1" s="369"/>
      <c r="O1" s="9"/>
      <c r="P1" s="10"/>
      <c r="Q1" s="10"/>
      <c r="R1" s="10"/>
      <c r="S1" s="8"/>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V1" s="13"/>
      <c r="DW1" s="13"/>
      <c r="DX1" s="13"/>
      <c r="DY1" s="13"/>
      <c r="DZ1" s="13"/>
      <c r="EA1" s="13"/>
      <c r="EB1" s="13"/>
      <c r="EC1" s="13"/>
      <c r="ED1" s="13"/>
      <c r="EE1" s="13"/>
      <c r="EF1" s="13"/>
      <c r="EG1" s="13"/>
      <c r="EH1" s="13"/>
      <c r="EI1" s="13"/>
      <c r="EJ1" s="13"/>
      <c r="EK1" s="13"/>
      <c r="EL1" s="13"/>
    </row>
    <row r="2" spans="1:142" s="12" customFormat="1" ht="14.25" customHeight="1" x14ac:dyDescent="0.5">
      <c r="A2" s="14"/>
      <c r="B2" s="14"/>
      <c r="D2" s="369"/>
      <c r="E2" s="369"/>
      <c r="F2" s="369"/>
      <c r="G2" s="369"/>
      <c r="H2" s="369"/>
      <c r="I2" s="369"/>
      <c r="J2" s="369"/>
      <c r="K2" s="369"/>
      <c r="L2" s="369"/>
      <c r="M2" s="369"/>
      <c r="N2" s="369"/>
      <c r="O2" s="9"/>
      <c r="P2" s="15"/>
      <c r="Q2" s="15"/>
      <c r="R2" s="15"/>
      <c r="S2" s="16" t="s">
        <v>245</v>
      </c>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V2" s="13"/>
      <c r="DW2" s="13"/>
      <c r="DX2" s="13"/>
      <c r="DY2" s="13"/>
      <c r="DZ2" s="13"/>
      <c r="EA2" s="13"/>
      <c r="EB2" s="13"/>
      <c r="EC2" s="13"/>
      <c r="ED2" s="13"/>
      <c r="EE2" s="13"/>
      <c r="EF2" s="13"/>
      <c r="EG2" s="13"/>
      <c r="EH2" s="13"/>
      <c r="EI2" s="13"/>
      <c r="EJ2" s="13"/>
      <c r="EK2" s="13"/>
      <c r="EL2" s="13"/>
    </row>
    <row r="3" spans="1:142" s="12" customFormat="1" ht="13.9" customHeight="1" x14ac:dyDescent="0.5">
      <c r="A3" s="17"/>
      <c r="B3" s="17"/>
      <c r="C3" s="18"/>
      <c r="D3" s="370"/>
      <c r="E3" s="370"/>
      <c r="F3" s="370"/>
      <c r="G3" s="370"/>
      <c r="H3" s="370"/>
      <c r="I3" s="370"/>
      <c r="J3" s="370"/>
      <c r="K3" s="370"/>
      <c r="L3" s="370"/>
      <c r="M3" s="370"/>
      <c r="N3" s="370"/>
      <c r="O3" s="19"/>
      <c r="P3" s="20"/>
      <c r="Q3" s="20"/>
      <c r="R3" s="20"/>
      <c r="S3" s="2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V3" s="13"/>
      <c r="DW3" s="13"/>
      <c r="DX3" s="13"/>
      <c r="DY3" s="13"/>
      <c r="DZ3" s="13"/>
      <c r="EA3" s="13"/>
      <c r="EB3" s="13"/>
      <c r="EC3" s="13"/>
      <c r="ED3" s="13"/>
      <c r="EE3" s="13"/>
      <c r="EF3" s="13"/>
      <c r="EG3" s="13"/>
      <c r="EH3" s="13"/>
      <c r="EI3" s="13"/>
      <c r="EJ3" s="13"/>
      <c r="EK3" s="13"/>
      <c r="EL3" s="13"/>
    </row>
    <row r="4" spans="1:142" s="12" customFormat="1" ht="18" x14ac:dyDescent="0.25">
      <c r="A4" s="22"/>
      <c r="B4" s="22"/>
      <c r="C4" s="23"/>
      <c r="D4" s="24" t="s">
        <v>169</v>
      </c>
      <c r="E4" s="25"/>
      <c r="F4" s="25"/>
      <c r="G4" s="26"/>
      <c r="H4" s="26"/>
      <c r="I4" s="25"/>
      <c r="J4" s="25"/>
      <c r="K4" s="26"/>
      <c r="L4" s="26"/>
      <c r="M4" s="26"/>
      <c r="N4" s="26"/>
      <c r="O4" s="26"/>
      <c r="P4" s="27"/>
      <c r="Q4" s="27"/>
      <c r="R4" s="27"/>
      <c r="S4" s="230" t="s">
        <v>11</v>
      </c>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V4" s="13"/>
      <c r="DW4" s="13"/>
      <c r="DX4" s="13"/>
      <c r="DY4" s="13"/>
      <c r="DZ4" s="13"/>
      <c r="EA4" s="13"/>
      <c r="EB4" s="13"/>
      <c r="EC4" s="13"/>
      <c r="ED4" s="13"/>
      <c r="EE4" s="13"/>
      <c r="EF4" s="13"/>
      <c r="EG4" s="13"/>
      <c r="EH4" s="13"/>
      <c r="EI4" s="13"/>
      <c r="EJ4" s="13"/>
      <c r="EK4" s="13"/>
      <c r="EL4" s="13"/>
    </row>
    <row r="5" spans="1:142" s="12" customFormat="1" x14ac:dyDescent="0.25">
      <c r="A5" s="22"/>
      <c r="B5" s="22"/>
      <c r="C5" s="28"/>
      <c r="D5" s="29"/>
      <c r="E5" s="30"/>
      <c r="F5" s="30"/>
      <c r="G5" s="31"/>
      <c r="H5" s="31"/>
      <c r="I5" s="30"/>
      <c r="J5" s="30"/>
      <c r="K5" s="31"/>
      <c r="L5" s="31"/>
      <c r="M5" s="31"/>
      <c r="N5" s="31"/>
      <c r="O5" s="31"/>
      <c r="P5" s="31"/>
      <c r="Q5" s="31"/>
      <c r="R5" s="31"/>
      <c r="S5" s="32"/>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11"/>
      <c r="DB5" s="11"/>
      <c r="DC5" s="11"/>
      <c r="DD5" s="11"/>
      <c r="DE5" s="11"/>
      <c r="DF5" s="11"/>
      <c r="DG5" s="11"/>
      <c r="DH5" s="11"/>
      <c r="DI5" s="11"/>
      <c r="DJ5" s="11"/>
      <c r="DK5" s="11"/>
      <c r="DL5" s="11"/>
      <c r="DM5" s="11"/>
      <c r="DN5" s="11"/>
      <c r="DO5" s="11"/>
      <c r="DP5" s="11"/>
      <c r="DQ5" s="11"/>
      <c r="DR5" s="11"/>
      <c r="DV5" s="13"/>
      <c r="DW5" s="13"/>
      <c r="DX5" s="13"/>
      <c r="DY5" s="13"/>
      <c r="DZ5" s="13"/>
      <c r="EA5" s="13"/>
      <c r="EB5" s="13"/>
      <c r="EC5" s="13"/>
      <c r="ED5" s="13"/>
      <c r="EE5" s="13"/>
      <c r="EF5" s="13"/>
      <c r="EG5" s="13"/>
      <c r="EH5" s="13"/>
      <c r="EI5" s="13"/>
      <c r="EJ5" s="13"/>
      <c r="EK5" s="13"/>
      <c r="EL5" s="13"/>
    </row>
    <row r="6" spans="1:142" s="12" customFormat="1" x14ac:dyDescent="0.25">
      <c r="A6" s="22"/>
      <c r="B6" s="22"/>
      <c r="C6" s="28"/>
      <c r="D6" s="29"/>
      <c r="E6" s="33"/>
      <c r="F6" s="33"/>
      <c r="G6" s="34"/>
      <c r="H6" s="34" t="s">
        <v>197</v>
      </c>
      <c r="I6" s="371" t="s">
        <v>116</v>
      </c>
      <c r="J6" s="372"/>
      <c r="K6" s="373"/>
      <c r="L6" s="210" t="str">
        <f>IFERROR(INDEX(CCT_CRI[],MATCH(I6,CCT_CRI[Nominal CCT+CRI],0),2),"-")</f>
        <v>1840G</v>
      </c>
      <c r="M6" s="34"/>
      <c r="N6" s="34"/>
      <c r="O6" s="34"/>
      <c r="P6" s="34"/>
      <c r="Q6" s="34"/>
      <c r="R6" s="34"/>
      <c r="S6" s="32"/>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V6" s="13"/>
      <c r="DW6" s="13"/>
      <c r="DX6" s="13"/>
      <c r="DY6" s="13"/>
      <c r="DZ6" s="13"/>
      <c r="EA6" s="13"/>
      <c r="EB6" s="13"/>
      <c r="EC6" s="13"/>
      <c r="ED6" s="13"/>
      <c r="EE6" s="13"/>
      <c r="EF6" s="13"/>
      <c r="EG6" s="13"/>
      <c r="EH6" s="13"/>
      <c r="EI6" s="13"/>
      <c r="EJ6" s="13"/>
      <c r="EK6" s="13"/>
      <c r="EL6" s="13"/>
    </row>
    <row r="7" spans="1:142" s="12" customFormat="1" x14ac:dyDescent="0.25">
      <c r="A7" s="22"/>
      <c r="B7" s="22"/>
      <c r="C7" s="28"/>
      <c r="D7" s="29"/>
      <c r="E7" s="33"/>
      <c r="F7" s="33"/>
      <c r="G7" s="34"/>
      <c r="H7" s="30"/>
      <c r="I7" s="31"/>
      <c r="J7" s="31"/>
      <c r="K7" s="31"/>
      <c r="L7" s="30"/>
      <c r="M7" s="34"/>
      <c r="N7" s="34"/>
      <c r="O7" s="34"/>
      <c r="P7" s="34"/>
      <c r="Q7" s="34"/>
      <c r="R7" s="34"/>
      <c r="S7" s="32"/>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c r="CP7" s="11"/>
      <c r="CQ7" s="11"/>
      <c r="CR7" s="11"/>
      <c r="CS7" s="11"/>
      <c r="CT7" s="11"/>
      <c r="CU7" s="11"/>
      <c r="CV7" s="11"/>
      <c r="CW7" s="11"/>
      <c r="CX7" s="11"/>
      <c r="CY7" s="11"/>
      <c r="CZ7" s="11"/>
      <c r="DA7" s="11"/>
      <c r="DB7" s="11"/>
      <c r="DC7" s="11"/>
      <c r="DD7" s="11"/>
      <c r="DE7" s="11"/>
      <c r="DF7" s="11"/>
      <c r="DG7" s="11"/>
      <c r="DH7" s="11"/>
      <c r="DI7" s="11"/>
      <c r="DJ7" s="11"/>
      <c r="DK7" s="11"/>
      <c r="DL7" s="11"/>
      <c r="DM7" s="11"/>
      <c r="DN7" s="11"/>
      <c r="DO7" s="11"/>
      <c r="DP7" s="11"/>
      <c r="DQ7" s="11"/>
      <c r="DR7" s="11"/>
      <c r="DV7" s="13"/>
      <c r="DW7" s="13"/>
      <c r="DX7" s="13"/>
      <c r="DY7" s="13"/>
      <c r="DZ7" s="13"/>
      <c r="EA7" s="13"/>
      <c r="EB7" s="13"/>
      <c r="EC7" s="13"/>
      <c r="ED7" s="13"/>
      <c r="EE7" s="13"/>
      <c r="EF7" s="13"/>
      <c r="EG7" s="13"/>
      <c r="EH7" s="13"/>
      <c r="EI7" s="13"/>
      <c r="EJ7" s="13"/>
      <c r="EK7" s="13"/>
      <c r="EL7" s="13"/>
    </row>
    <row r="8" spans="1:142" s="12" customFormat="1" x14ac:dyDescent="0.25">
      <c r="A8" s="22"/>
      <c r="B8" s="22"/>
      <c r="C8" s="28"/>
      <c r="D8" s="29"/>
      <c r="E8" s="33"/>
      <c r="F8" s="33"/>
      <c r="G8" s="34"/>
      <c r="H8" s="34" t="s">
        <v>12</v>
      </c>
      <c r="I8" s="374">
        <v>25</v>
      </c>
      <c r="J8" s="375"/>
      <c r="K8" s="376"/>
      <c r="L8" s="35"/>
      <c r="M8" s="34"/>
      <c r="N8" s="34"/>
      <c r="O8" s="34"/>
      <c r="P8" s="34"/>
      <c r="Q8" s="34"/>
      <c r="R8" s="34"/>
      <c r="S8" s="32"/>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V8" s="13"/>
      <c r="DW8" s="13"/>
      <c r="DX8" s="13"/>
      <c r="DY8" s="13"/>
      <c r="DZ8" s="13"/>
      <c r="EA8" s="13"/>
      <c r="EB8" s="13"/>
      <c r="EC8" s="13"/>
      <c r="ED8" s="13"/>
      <c r="EE8" s="13"/>
      <c r="EF8" s="13"/>
      <c r="EG8" s="13"/>
      <c r="EH8" s="13"/>
      <c r="EI8" s="13"/>
      <c r="EJ8" s="13"/>
      <c r="EK8" s="13"/>
      <c r="EL8" s="13"/>
    </row>
    <row r="9" spans="1:142" s="12" customFormat="1" x14ac:dyDescent="0.25">
      <c r="A9" s="22"/>
      <c r="B9" s="22"/>
      <c r="C9" s="28"/>
      <c r="D9" s="29"/>
      <c r="E9" s="33"/>
      <c r="F9" s="33"/>
      <c r="G9" s="34"/>
      <c r="H9" s="34"/>
      <c r="I9" s="33"/>
      <c r="J9" s="34"/>
      <c r="K9" s="34"/>
      <c r="L9" s="34"/>
      <c r="M9" s="34"/>
      <c r="N9" s="34"/>
      <c r="O9" s="34"/>
      <c r="P9" s="34"/>
      <c r="Q9" s="34"/>
      <c r="R9" s="34"/>
      <c r="S9" s="32"/>
      <c r="T9" s="36"/>
      <c r="U9" s="36"/>
      <c r="V9" s="36"/>
      <c r="W9" s="36"/>
      <c r="X9" s="36"/>
      <c r="Y9" s="36"/>
      <c r="Z9" s="36"/>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V9" s="13"/>
      <c r="DW9" s="13"/>
      <c r="DX9" s="13"/>
      <c r="DY9" s="13"/>
      <c r="DZ9" s="13"/>
      <c r="EA9" s="13"/>
      <c r="EB9" s="13"/>
      <c r="EC9" s="13"/>
      <c r="ED9" s="13"/>
      <c r="EE9" s="13"/>
      <c r="EF9" s="13"/>
      <c r="EG9" s="13"/>
      <c r="EH9" s="13"/>
      <c r="EI9" s="13"/>
      <c r="EJ9" s="13"/>
      <c r="EK9" s="13"/>
      <c r="EL9" s="13"/>
    </row>
    <row r="10" spans="1:142" s="12" customFormat="1" x14ac:dyDescent="0.25">
      <c r="A10" s="22"/>
      <c r="B10" s="22"/>
      <c r="C10" s="28"/>
      <c r="D10" s="37" t="s">
        <v>13</v>
      </c>
      <c r="E10" s="33"/>
      <c r="F10" s="33"/>
      <c r="G10" s="37"/>
      <c r="H10" s="38"/>
      <c r="I10" s="33"/>
      <c r="J10" s="34"/>
      <c r="K10" s="34"/>
      <c r="L10" s="34"/>
      <c r="M10" s="34"/>
      <c r="N10" s="34"/>
      <c r="O10" s="34"/>
      <c r="P10" s="31"/>
      <c r="Q10" s="31"/>
      <c r="R10" s="31"/>
      <c r="S10" s="32"/>
      <c r="T10" s="36"/>
      <c r="U10" s="36"/>
      <c r="V10" s="36"/>
      <c r="W10" s="36"/>
      <c r="X10" s="36"/>
      <c r="Y10" s="36"/>
      <c r="Z10" s="36"/>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V10" s="13"/>
      <c r="DW10" s="13"/>
      <c r="DX10" s="13"/>
      <c r="DY10" s="13"/>
      <c r="DZ10" s="13"/>
      <c r="EA10" s="13"/>
      <c r="EB10" s="13"/>
      <c r="EC10" s="13"/>
      <c r="ED10" s="13"/>
      <c r="EE10" s="13"/>
      <c r="EF10" s="13"/>
      <c r="EG10" s="13"/>
      <c r="EH10" s="13"/>
      <c r="EI10" s="13"/>
      <c r="EJ10" s="13"/>
      <c r="EK10" s="13"/>
      <c r="EL10" s="13"/>
    </row>
    <row r="11" spans="1:142" s="12" customFormat="1" x14ac:dyDescent="0.25">
      <c r="A11" s="22"/>
      <c r="B11" s="22"/>
      <c r="C11" s="39"/>
      <c r="D11" s="40"/>
      <c r="E11" s="41"/>
      <c r="F11" s="41"/>
      <c r="G11" s="42"/>
      <c r="H11" s="42"/>
      <c r="I11" s="41"/>
      <c r="J11" s="41"/>
      <c r="K11" s="42"/>
      <c r="L11" s="42"/>
      <c r="M11" s="42"/>
      <c r="N11" s="41"/>
      <c r="O11" s="41"/>
      <c r="P11" s="42"/>
      <c r="Q11" s="42"/>
      <c r="R11" s="42"/>
      <c r="S11" s="43"/>
      <c r="T11" s="44"/>
      <c r="U11" s="44"/>
      <c r="V11" s="44"/>
      <c r="W11" s="44"/>
      <c r="X11" s="44"/>
      <c r="Y11" s="44"/>
      <c r="Z11" s="44"/>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V11" s="13"/>
      <c r="DW11" s="13"/>
      <c r="DX11" s="13"/>
      <c r="DY11" s="13"/>
      <c r="DZ11" s="13"/>
      <c r="EA11" s="13"/>
      <c r="EB11" s="13"/>
      <c r="EC11" s="13"/>
      <c r="ED11" s="13"/>
      <c r="EE11" s="13"/>
      <c r="EF11" s="13"/>
      <c r="EG11" s="13"/>
      <c r="EH11" s="13"/>
      <c r="EI11" s="13"/>
      <c r="EJ11" s="13"/>
      <c r="EK11" s="13"/>
      <c r="EL11" s="13"/>
    </row>
    <row r="12" spans="1:142" s="12" customFormat="1" x14ac:dyDescent="0.25">
      <c r="A12" s="45"/>
      <c r="B12" s="45"/>
      <c r="C12" s="46"/>
      <c r="D12" s="47"/>
      <c r="E12" s="48"/>
      <c r="F12" s="48"/>
      <c r="G12" s="47"/>
      <c r="H12" s="47"/>
      <c r="I12" s="47"/>
      <c r="J12" s="47"/>
      <c r="K12" s="47"/>
      <c r="L12" s="47"/>
      <c r="M12" s="47"/>
      <c r="N12" s="47"/>
      <c r="O12" s="47"/>
      <c r="P12" s="48"/>
      <c r="Q12" s="48"/>
      <c r="R12" s="48"/>
      <c r="S12" s="48"/>
      <c r="T12" s="44"/>
      <c r="U12" s="11"/>
      <c r="V12" s="11"/>
      <c r="W12" s="11"/>
      <c r="X12" s="11"/>
      <c r="Y12" s="11"/>
      <c r="Z12" s="44"/>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V12" s="13"/>
      <c r="DW12" s="13"/>
      <c r="DX12" s="13"/>
      <c r="DY12" s="13"/>
      <c r="DZ12" s="13"/>
      <c r="EA12" s="13"/>
      <c r="EB12" s="13"/>
      <c r="EC12" s="13"/>
      <c r="ED12" s="13"/>
      <c r="EE12" s="13"/>
      <c r="EF12" s="13"/>
      <c r="EG12" s="13"/>
      <c r="EH12" s="13"/>
      <c r="EI12" s="13"/>
      <c r="EJ12" s="13"/>
      <c r="EK12" s="13"/>
      <c r="EL12" s="13"/>
    </row>
    <row r="13" spans="1:142" s="12" customFormat="1" ht="18" x14ac:dyDescent="0.25">
      <c r="A13" s="22"/>
      <c r="B13" s="22"/>
      <c r="C13" s="23"/>
      <c r="D13" s="49" t="s">
        <v>14</v>
      </c>
      <c r="E13" s="50"/>
      <c r="F13" s="25"/>
      <c r="G13" s="27"/>
      <c r="H13" s="25"/>
      <c r="I13" s="25"/>
      <c r="J13" s="25"/>
      <c r="K13" s="25"/>
      <c r="L13" s="27"/>
      <c r="M13" s="25"/>
      <c r="N13" s="27" t="s">
        <v>15</v>
      </c>
      <c r="O13" s="27"/>
      <c r="P13" s="27"/>
      <c r="Q13" s="27"/>
      <c r="R13" s="27"/>
      <c r="S13" s="51"/>
      <c r="T13" s="44"/>
      <c r="U13" s="11"/>
      <c r="V13" s="11"/>
      <c r="W13" s="11"/>
      <c r="X13" s="11"/>
      <c r="Y13" s="11"/>
      <c r="Z13" s="44"/>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V13" s="13"/>
      <c r="DW13" s="13"/>
      <c r="DX13" s="13"/>
      <c r="DY13" s="13"/>
      <c r="DZ13" s="13"/>
      <c r="EA13" s="13"/>
      <c r="EB13" s="13"/>
      <c r="EC13" s="13"/>
      <c r="ED13" s="13"/>
      <c r="EE13" s="13"/>
      <c r="EF13" s="13"/>
      <c r="EG13" s="13"/>
      <c r="EH13" s="13"/>
      <c r="EI13" s="13"/>
      <c r="EJ13" s="13"/>
      <c r="EK13" s="13"/>
      <c r="EL13" s="13"/>
    </row>
    <row r="14" spans="1:142" s="12" customFormat="1" ht="17.45" customHeight="1" x14ac:dyDescent="0.25">
      <c r="A14" s="22"/>
      <c r="B14" s="22"/>
      <c r="C14" s="28"/>
      <c r="D14" s="30" t="s">
        <v>16</v>
      </c>
      <c r="E14" s="30"/>
      <c r="F14" s="30"/>
      <c r="G14" s="34"/>
      <c r="H14" s="30"/>
      <c r="I14" s="30"/>
      <c r="J14" s="30"/>
      <c r="K14" s="30"/>
      <c r="L14" s="34"/>
      <c r="M14" s="34" t="s">
        <v>108</v>
      </c>
      <c r="N14" s="52">
        <v>0</v>
      </c>
      <c r="O14" s="34"/>
      <c r="P14" s="34"/>
      <c r="Q14" s="34"/>
      <c r="R14" s="34"/>
      <c r="S14" s="32"/>
      <c r="T14" s="53"/>
      <c r="U14" s="11"/>
      <c r="V14" s="11"/>
      <c r="W14" s="11"/>
      <c r="X14" s="11"/>
      <c r="Y14" s="11"/>
      <c r="Z14" s="44"/>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V14" s="13"/>
      <c r="DW14" s="13"/>
      <c r="DX14" s="13"/>
      <c r="DY14" s="13"/>
      <c r="DZ14" s="13"/>
      <c r="EA14" s="13"/>
      <c r="EB14" s="13"/>
      <c r="EC14" s="13"/>
      <c r="ED14" s="13"/>
      <c r="EE14" s="13"/>
      <c r="EF14" s="13"/>
      <c r="EG14" s="13"/>
      <c r="EH14" s="13"/>
      <c r="EI14" s="13"/>
      <c r="EJ14" s="13"/>
      <c r="EK14" s="13"/>
      <c r="EL14" s="13"/>
    </row>
    <row r="15" spans="1:142" s="12" customFormat="1" ht="17.45" customHeight="1" x14ac:dyDescent="0.25">
      <c r="A15" s="22"/>
      <c r="B15" s="22"/>
      <c r="C15" s="28"/>
      <c r="D15" s="30"/>
      <c r="E15" s="30"/>
      <c r="F15" s="30"/>
      <c r="G15" s="34"/>
      <c r="H15" s="30"/>
      <c r="I15" s="30"/>
      <c r="J15" s="30"/>
      <c r="K15" s="30"/>
      <c r="L15" s="34"/>
      <c r="M15" s="34" t="s">
        <v>235</v>
      </c>
      <c r="N15" s="52">
        <v>150</v>
      </c>
      <c r="O15" s="34"/>
      <c r="P15" s="34"/>
      <c r="Q15" s="34"/>
      <c r="R15" s="34"/>
      <c r="S15" s="32"/>
      <c r="T15" s="53"/>
      <c r="U15" s="11"/>
      <c r="V15" s="11"/>
      <c r="W15" s="11"/>
      <c r="X15" s="11"/>
      <c r="Y15" s="11"/>
      <c r="Z15" s="44"/>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V15" s="13"/>
      <c r="DW15" s="13"/>
      <c r="DX15" s="13"/>
      <c r="DY15" s="13"/>
      <c r="DZ15" s="13"/>
      <c r="EA15" s="13"/>
      <c r="EB15" s="13"/>
      <c r="EC15" s="13"/>
      <c r="ED15" s="13"/>
      <c r="EE15" s="13"/>
      <c r="EF15" s="13"/>
      <c r="EG15" s="13"/>
      <c r="EH15" s="13"/>
      <c r="EI15" s="13"/>
      <c r="EJ15" s="13"/>
      <c r="EK15" s="13"/>
      <c r="EL15" s="13"/>
    </row>
    <row r="16" spans="1:142" s="12" customFormat="1" ht="21" customHeight="1" x14ac:dyDescent="0.25">
      <c r="A16" s="45"/>
      <c r="B16" s="45"/>
      <c r="C16" s="28"/>
      <c r="D16" s="54" t="s">
        <v>107</v>
      </c>
      <c r="E16" s="30"/>
      <c r="F16" s="30"/>
      <c r="G16" s="34"/>
      <c r="H16" s="31"/>
      <c r="I16" s="31"/>
      <c r="J16" s="31"/>
      <c r="K16" s="31"/>
      <c r="L16" s="34"/>
      <c r="M16" s="34"/>
      <c r="N16" s="34"/>
      <c r="O16" s="34"/>
      <c r="P16" s="55"/>
      <c r="Q16" s="55"/>
      <c r="R16" s="55"/>
      <c r="S16" s="32"/>
      <c r="T16" s="56"/>
      <c r="U16" s="56"/>
      <c r="V16" s="44"/>
      <c r="W16" s="44"/>
      <c r="X16" s="44"/>
      <c r="Y16" s="44"/>
      <c r="Z16" s="44"/>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V16" s="13"/>
      <c r="DW16" s="13"/>
      <c r="DX16" s="13"/>
      <c r="DY16" s="13"/>
      <c r="DZ16" s="13"/>
      <c r="EA16" s="13"/>
      <c r="EB16" s="13"/>
      <c r="EC16" s="13"/>
      <c r="ED16" s="13"/>
      <c r="EE16" s="13"/>
      <c r="EF16" s="13"/>
      <c r="EG16" s="13"/>
      <c r="EH16" s="13"/>
      <c r="EI16" s="13"/>
      <c r="EJ16" s="13"/>
      <c r="EK16" s="13"/>
      <c r="EL16" s="13"/>
    </row>
    <row r="17" spans="1:142" s="12" customFormat="1" ht="63.75" x14ac:dyDescent="0.25">
      <c r="A17" s="45"/>
      <c r="B17" s="45"/>
      <c r="C17" s="28"/>
      <c r="D17" s="178" t="s">
        <v>99</v>
      </c>
      <c r="E17" s="179" t="s">
        <v>8</v>
      </c>
      <c r="F17" s="179" t="s">
        <v>17</v>
      </c>
      <c r="G17" s="179" t="s">
        <v>4</v>
      </c>
      <c r="H17" s="179" t="s">
        <v>110</v>
      </c>
      <c r="I17" s="179" t="s">
        <v>109</v>
      </c>
      <c r="J17" s="179" t="s">
        <v>147</v>
      </c>
      <c r="K17" s="179" t="s">
        <v>148</v>
      </c>
      <c r="L17" s="179" t="s">
        <v>149</v>
      </c>
      <c r="M17" s="179" t="str">
        <f>"Lumen DC @ 
"&amp;$D$10&amp;" = "&amp;$I$8&amp;"°C"</f>
        <v>Lumen DC @ 
Case = 25°C</v>
      </c>
      <c r="N17" s="179" t="str">
        <f>"Efficacy DC @ 
"&amp;$D$10&amp;" = "&amp;$I$8&amp;"°C"</f>
        <v>Efficacy DC @ 
Case = 25°C</v>
      </c>
      <c r="O17" s="179" t="str">
        <f>"Min. Lumen DC @ 
"&amp;$D$10&amp;" = "&amp;$I$8&amp;"°C"</f>
        <v>Min. Lumen DC @ 
Case = 25°C</v>
      </c>
      <c r="P17" s="179" t="s">
        <v>218</v>
      </c>
      <c r="Q17" s="179" t="s">
        <v>219</v>
      </c>
      <c r="R17" s="180" t="s">
        <v>236</v>
      </c>
      <c r="S17" s="32"/>
      <c r="T17" s="57"/>
      <c r="U17" s="377"/>
      <c r="V17" s="378"/>
      <c r="W17" s="378"/>
      <c r="X17" s="378"/>
      <c r="Y17" s="36"/>
      <c r="Z17" s="36"/>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V17" s="13"/>
      <c r="DW17" s="13"/>
      <c r="DX17" s="13"/>
      <c r="DY17" s="13"/>
      <c r="DZ17" s="13"/>
      <c r="EA17" s="13"/>
      <c r="EB17" s="13"/>
      <c r="EC17" s="13"/>
      <c r="ED17" s="13"/>
      <c r="EE17" s="13"/>
      <c r="EF17" s="13"/>
      <c r="EG17" s="13"/>
      <c r="EH17" s="13"/>
      <c r="EI17" s="13"/>
      <c r="EJ17" s="13"/>
      <c r="EK17" s="13"/>
      <c r="EL17" s="13"/>
    </row>
    <row r="18" spans="1:142" s="64" customFormat="1" ht="15" x14ac:dyDescent="0.2">
      <c r="A18" s="45" t="str">
        <f>D18&amp;C18&amp;"-"&amp;L$6&amp;F18</f>
        <v>6mm-1840GDP</v>
      </c>
      <c r="B18" s="45"/>
      <c r="C18" s="60"/>
      <c r="D18" s="181" t="s">
        <v>98</v>
      </c>
      <c r="E18" s="172" t="str">
        <f>IFERROR(INDEX(Master_Table[],MATCH(A18,Master_Table[PF+CCT+Tech],0),9),"-")</f>
        <v>BXRV-TR-1840G-06A0-B-23</v>
      </c>
      <c r="F18" s="172" t="s">
        <v>106</v>
      </c>
      <c r="G18" s="172">
        <f>IFERROR(IF(H18&lt;=Q18,Calculations!BG5,"-"),"-")</f>
        <v>4000.9</v>
      </c>
      <c r="H18" s="172">
        <f>IFERROR(IF(($N$14+$N$15)&lt;=Q18, (N$14+N$15),"-"),"-")</f>
        <v>150</v>
      </c>
      <c r="I18" s="173">
        <f>IFERROR(IF((N$14+N$15)&lt;= Q18,($N$14/(N$14+N$15)),"-"),"-")</f>
        <v>0</v>
      </c>
      <c r="J18" s="174" t="str">
        <f>IFERROR(IF(AND((N$14+N$15)&lt;= Q18,N$14&gt;0),Calculations!AP5,"-"),"-")</f>
        <v>-</v>
      </c>
      <c r="K18" s="174">
        <f>IFERROR(IF(AND((N$14+N$15)&lt;= Q18,N$15&gt;0),Calculations!AZ5,"-"),"-")</f>
        <v>37.000000000000007</v>
      </c>
      <c r="L18" s="174">
        <f t="shared" ref="L18:L25" si="0">IF((IFERROR(J18*N$14/1000,0)+IFERROR(K18*N$15/1000,0))=0,"-",(IFERROR(J18*N$14/1000,0)+IFERROR(K18*N$15/1000,0)))</f>
        <v>5.5500000000000007</v>
      </c>
      <c r="M18" s="172">
        <f>IFERROR(MROUND(IF(H18=$N$14+$N$15,Calculations!AE5,"-"),1),"-")</f>
        <v>580</v>
      </c>
      <c r="N18" s="172">
        <f>IFERROR((M18/L18),"-")</f>
        <v>104.5045045045045</v>
      </c>
      <c r="O18" s="172">
        <f>IFERROR(MROUND(IF(H18=($N$14+$N$15),M18*0.9,"-"),1),"-")</f>
        <v>522</v>
      </c>
      <c r="P18" s="172">
        <f>IFERROR(INDEX(Master_Table[],MATCH(A18,Master_Table[PF+CCT+Tech],0),COLUMN(Master_Table[Typical Current])),"-")</f>
        <v>150</v>
      </c>
      <c r="Q18" s="172">
        <f>IFERROR(INDEX(Master_Table[],MATCH(A18,Master_Table[PF+CCT+Tech],0),COLUMN(Master_Table[Max Current])),"-")</f>
        <v>200</v>
      </c>
      <c r="R18" s="182" t="str">
        <f>IF(M18="-","-",IF((1.5+M18/120)&gt;L18,IF(N18*0.926&lt;85,"G",IF(AND(N18*0.926&gt;=85, N18*0.926&lt;110),"F",IF(AND(N18*0.926&gt;=110,N18*0.926&lt;135),"E",IF(AND(N18*0.926&gt;=135,N18*0.926&lt;160),"D",IF(AND(N18*0.926&gt;=160,N18*0.926&lt;185),"C",IF(AND(N18*0.926&gt;=185,N18*0.926&lt;210),"B",IF(N18*0.926&gt;=210,"A","-"))))))),"-"))</f>
        <v>F</v>
      </c>
      <c r="S18" s="61"/>
      <c r="T18" s="62"/>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row>
    <row r="19" spans="1:142" s="64" customFormat="1" ht="15" x14ac:dyDescent="0.2">
      <c r="A19" s="45" t="str">
        <f>D19&amp;C19&amp;"-"&amp;L$6&amp;F19</f>
        <v>9mm-1840GDP-A</v>
      </c>
      <c r="B19" s="45"/>
      <c r="C19" s="60"/>
      <c r="D19" s="183" t="s">
        <v>100</v>
      </c>
      <c r="E19" s="175" t="str">
        <f>IFERROR(INDEX(Master_Table[],MATCH(A19,Master_Table[PF+CCT+Tech],0),9),"-")</f>
        <v>BXRV-TR-1840G-10A0-A-25</v>
      </c>
      <c r="F19" s="175" t="s">
        <v>177</v>
      </c>
      <c r="G19" s="175">
        <f>IFERROR(IF(H19&lt;=Q19,Calculations!BG6,"-"),"-")</f>
        <v>4000.9</v>
      </c>
      <c r="H19" s="175">
        <f t="shared" ref="H19:H25" si="1">IFERROR(IF(($N$14+$N$15)&lt;=Q19, (N$14+N$15),"-"),"-")</f>
        <v>150</v>
      </c>
      <c r="I19" s="176">
        <f t="shared" ref="I19:I25" si="2">IFERROR(IF((N$14+N$15)&lt;= Q19,($N$14/(N$14+N$15)),"-"),"-")</f>
        <v>0</v>
      </c>
      <c r="J19" s="177" t="str">
        <f>IFERROR(IF(AND((N$14+N$15)&lt;= Q19,N$14&gt;0),Calculations!AP6,"-"),"-")</f>
        <v>-</v>
      </c>
      <c r="K19" s="177">
        <f>IFERROR(IF(AND((N$14+N$15)&lt;= Q19,N$15&gt;0),Calculations!AZ6,"-"),"-")</f>
        <v>16.987143322307965</v>
      </c>
      <c r="L19" s="177">
        <f t="shared" si="0"/>
        <v>2.5480714983461947</v>
      </c>
      <c r="M19" s="175">
        <f>IFERROR(MROUND(IF(H19=$N$14+$N$15,Calculations!AE6,"-"),1),"-")</f>
        <v>350</v>
      </c>
      <c r="N19" s="175">
        <f>IFERROR((M19/L19),"-")</f>
        <v>137.35878299614618</v>
      </c>
      <c r="O19" s="175">
        <f>IFERROR(MROUND(IF(H19=($N$14+$N$15),M19*0.9,"-"),1),"-")</f>
        <v>315</v>
      </c>
      <c r="P19" s="175">
        <f>IFERROR(INDEX(Master_Table[],MATCH(A19,Master_Table[PF+CCT+Tech],0),COLUMN(Master_Table[Typical Current])),"-")</f>
        <v>500</v>
      </c>
      <c r="Q19" s="175">
        <f>IFERROR(INDEX(Master_Table[],MATCH(A19,Master_Table[PF+CCT+Tech],0),COLUMN(Master_Table[Max Current])),"-")</f>
        <v>700</v>
      </c>
      <c r="R19" s="184" t="str">
        <f t="shared" ref="R19:R25" si="3">IF(M19="-","-",IF((1.5+M19/120)&gt;L19,IF(N19*0.926&lt;85,"G",IF(AND(N19*0.926&gt;=85, N19*0.926&lt;110),"F",IF(AND(N19*0.926&gt;=110,N19*0.926&lt;135),"E",IF(AND(N19*0.926&gt;=135,N19*0.926&lt;160),"D",IF(AND(N19*0.926&gt;=160,N19*0.926&lt;185),"C",IF(AND(N19*0.926&gt;=185,N19*0.926&lt;210),"B",IF(N19*0.926&gt;=210,"A","-"))))))),"-"))</f>
        <v>E</v>
      </c>
      <c r="S19" s="61"/>
      <c r="T19" s="62"/>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row>
    <row r="20" spans="1:142" s="64" customFormat="1" ht="15" x14ac:dyDescent="0.2">
      <c r="A20" s="45" t="str">
        <f t="shared" ref="A20:A25" si="4">D20&amp;C20&amp;"-"&amp;L$6&amp;F20</f>
        <v>9mm-1840GDP-B</v>
      </c>
      <c r="B20" s="45"/>
      <c r="C20" s="60"/>
      <c r="D20" s="181" t="s">
        <v>100</v>
      </c>
      <c r="E20" s="172" t="str">
        <f>IFERROR(INDEX(Master_Table[],MATCH(A20,Master_Table[PF+CCT+Tech],0),9),"-")</f>
        <v>BXRV-TR-1840G-10A0-B-25</v>
      </c>
      <c r="F20" s="172" t="s">
        <v>178</v>
      </c>
      <c r="G20" s="172">
        <f>IFERROR(IF(H20&lt;=Q20,Calculations!BG7,"-"),"-")</f>
        <v>4000.9</v>
      </c>
      <c r="H20" s="172">
        <f t="shared" si="1"/>
        <v>150</v>
      </c>
      <c r="I20" s="173">
        <f t="shared" si="2"/>
        <v>0</v>
      </c>
      <c r="J20" s="174" t="str">
        <f>IFERROR(IF(AND((N$14+N$15)&lt;= Q20,N$14&gt;0),Calculations!AP7,"-"),"-")</f>
        <v>-</v>
      </c>
      <c r="K20" s="174">
        <f>IFERROR(IF(AND((N$14+N$15)&lt;= Q20,N$15&gt;0),Calculations!AZ7,"-"),"-")</f>
        <v>33.825537414587735</v>
      </c>
      <c r="L20" s="174">
        <f t="shared" si="0"/>
        <v>5.0738306121881607</v>
      </c>
      <c r="M20" s="172">
        <f>IFERROR(MROUND(IF(H20=$N$14+$N$15,Calculations!AE7,"-"),1),"-")</f>
        <v>687</v>
      </c>
      <c r="N20" s="172">
        <f t="shared" ref="N20:N25" si="5">IFERROR((M20/L20),"-")</f>
        <v>135.400657315937</v>
      </c>
      <c r="O20" s="172">
        <f>IFERROR(MROUND(IF(H20=($N$14+$N$15),M20*0.9,"-"),1),"-")</f>
        <v>618</v>
      </c>
      <c r="P20" s="172">
        <f>IFERROR(INDEX(Master_Table[],MATCH(A20,Master_Table[PF+CCT+Tech],0),COLUMN(Master_Table[Typical Current])),"-")</f>
        <v>250</v>
      </c>
      <c r="Q20" s="172">
        <f>IFERROR(INDEX(Master_Table[],MATCH(A20,Master_Table[PF+CCT+Tech],0),COLUMN(Master_Table[Max Current])),"-")</f>
        <v>480</v>
      </c>
      <c r="R20" s="182" t="str">
        <f t="shared" si="3"/>
        <v>E</v>
      </c>
      <c r="S20" s="61"/>
      <c r="T20" s="62"/>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row>
    <row r="21" spans="1:142" s="12" customFormat="1" x14ac:dyDescent="0.25">
      <c r="A21" s="45" t="str">
        <f t="shared" si="4"/>
        <v>13mm-1840GDP</v>
      </c>
      <c r="B21" s="45"/>
      <c r="C21" s="28"/>
      <c r="D21" s="183" t="s">
        <v>101</v>
      </c>
      <c r="E21" s="175" t="str">
        <f>IFERROR(INDEX(Master_Table[],MATCH(A21,Master_Table[PF+CCT+Tech],0),9),"-")</f>
        <v>BXRV-TR-1840G-20A0-A-23</v>
      </c>
      <c r="F21" s="175" t="s">
        <v>106</v>
      </c>
      <c r="G21" s="175">
        <f>IFERROR(IF(H21&lt;=Q21,Calculations!BG8,"-"),"-")</f>
        <v>4000.9</v>
      </c>
      <c r="H21" s="175">
        <f t="shared" si="1"/>
        <v>150</v>
      </c>
      <c r="I21" s="176">
        <f t="shared" si="2"/>
        <v>0</v>
      </c>
      <c r="J21" s="177" t="str">
        <f>IFERROR(IF(AND((N$14+N$15)&lt;= Q21,N$14&gt;0),Calculations!AP8,"-"),"-")</f>
        <v>-</v>
      </c>
      <c r="K21" s="177">
        <f>IFERROR(IF(AND((N$14+N$15)&lt;= Q21,N$15&gt;0),Calculations!AZ8,"-"),"-")</f>
        <v>32.903053275713297</v>
      </c>
      <c r="L21" s="177">
        <f t="shared" si="0"/>
        <v>4.9354579913569943</v>
      </c>
      <c r="M21" s="175">
        <f>IFERROR(MROUND(IF(H21=$N$14+$N$15,Calculations!AE8,"-"),1),"-")</f>
        <v>689</v>
      </c>
      <c r="N21" s="175">
        <f t="shared" si="5"/>
        <v>139.60203920417948</v>
      </c>
      <c r="O21" s="175">
        <f>IFERROR(MROUND(IF(H21=($N$14+$N$15),M21*0.9,"-"),1),"-")</f>
        <v>620</v>
      </c>
      <c r="P21" s="175">
        <f>IFERROR(INDEX(Master_Table[],MATCH(A21,Master_Table[PF+CCT+Tech],0),COLUMN(Master_Table[Typical Current])),"-")</f>
        <v>500</v>
      </c>
      <c r="Q21" s="175">
        <f>IFERROR(INDEX(Master_Table[],MATCH(A21,Master_Table[PF+CCT+Tech],0),COLUMN(Master_Table[Max Current])),"-")</f>
        <v>700</v>
      </c>
      <c r="R21" s="184" t="str">
        <f t="shared" si="3"/>
        <v>E</v>
      </c>
      <c r="S21" s="58"/>
      <c r="T21" s="59"/>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V21" s="13"/>
      <c r="DW21" s="13"/>
      <c r="DX21" s="13"/>
      <c r="DY21" s="13"/>
      <c r="DZ21" s="13"/>
      <c r="EA21" s="13"/>
      <c r="EB21" s="13"/>
      <c r="EC21" s="13"/>
      <c r="ED21" s="13"/>
      <c r="EE21" s="13"/>
      <c r="EF21" s="13"/>
      <c r="EG21" s="13"/>
      <c r="EH21" s="13"/>
      <c r="EI21" s="13"/>
      <c r="EJ21" s="13"/>
      <c r="EK21" s="13"/>
      <c r="EL21" s="13"/>
    </row>
    <row r="22" spans="1:142" s="12" customFormat="1" x14ac:dyDescent="0.25">
      <c r="A22" s="45" t="str">
        <f>D22&amp;C22&amp;"-"&amp;L$6&amp;F22</f>
        <v>15mm-1840GDP</v>
      </c>
      <c r="B22" s="45"/>
      <c r="C22" s="28"/>
      <c r="D22" s="181" t="s">
        <v>102</v>
      </c>
      <c r="E22" s="172" t="str">
        <f>IFERROR(INDEX(Master_Table[],MATCH(A22,Master_Table[PF+CCT+Tech],0),9),"-")</f>
        <v>-</v>
      </c>
      <c r="F22" s="172" t="s">
        <v>106</v>
      </c>
      <c r="G22" s="172" t="str">
        <f>IFERROR(IF(H22&lt;=Q22,Calculations!BG9,"-"),"-")</f>
        <v>-</v>
      </c>
      <c r="H22" s="172">
        <f t="shared" si="1"/>
        <v>150</v>
      </c>
      <c r="I22" s="173">
        <f t="shared" si="2"/>
        <v>0</v>
      </c>
      <c r="J22" s="174" t="str">
        <f>IFERROR(IF(AND((N$14+N$15)&lt;= Q22,N$14&gt;0),Calculations!AP9,"-"),"-")</f>
        <v>-</v>
      </c>
      <c r="K22" s="174" t="str">
        <f>IFERROR(IF(AND((N$14+N$15)&lt;= Q22,N$15&gt;0),Calculations!AZ9,"-"),"-")</f>
        <v>-</v>
      </c>
      <c r="L22" s="174" t="str">
        <f t="shared" si="0"/>
        <v>-</v>
      </c>
      <c r="M22" s="172" t="str">
        <f>IFERROR(MROUND(IF(H22=$N$14+$N$15,Calculations!AE9,"-"),1),"-")</f>
        <v>-</v>
      </c>
      <c r="N22" s="172" t="str">
        <f t="shared" si="5"/>
        <v>-</v>
      </c>
      <c r="O22" s="172" t="str">
        <f t="shared" ref="O22:O25" si="6">IFERROR(MROUND(IF(H22=($N$14+$N$15),M22*0.9,"-"),1),"-")</f>
        <v>-</v>
      </c>
      <c r="P22" s="172" t="str">
        <f>IFERROR(INDEX(Master_Table[],MATCH(A22,Master_Table[PF+CCT+Tech],0),COLUMN(Master_Table[Typical Current])),"-")</f>
        <v>-</v>
      </c>
      <c r="Q22" s="172" t="str">
        <f>IFERROR(INDEX(Master_Table[],MATCH(A22,Master_Table[PF+CCT+Tech],0),COLUMN(Master_Table[Max Current])),"-")</f>
        <v>-</v>
      </c>
      <c r="R22" s="182" t="str">
        <f t="shared" si="3"/>
        <v>-</v>
      </c>
      <c r="S22" s="58"/>
      <c r="T22" s="59"/>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V22" s="13"/>
      <c r="DW22" s="13"/>
      <c r="DX22" s="13"/>
      <c r="DY22" s="13"/>
      <c r="DZ22" s="13"/>
      <c r="EA22" s="13"/>
      <c r="EB22" s="13"/>
      <c r="EC22" s="13"/>
      <c r="ED22" s="13"/>
      <c r="EE22" s="13"/>
      <c r="EF22" s="13"/>
      <c r="EG22" s="13"/>
      <c r="EH22" s="13"/>
      <c r="EI22" s="13"/>
      <c r="EJ22" s="13"/>
      <c r="EK22" s="13"/>
      <c r="EL22" s="13"/>
    </row>
    <row r="23" spans="1:142" s="72" customFormat="1" ht="15" x14ac:dyDescent="0.2">
      <c r="A23" s="45" t="str">
        <f t="shared" si="4"/>
        <v>18mm-1840GDP</v>
      </c>
      <c r="B23" s="45"/>
      <c r="C23" s="68"/>
      <c r="D23" s="183" t="s">
        <v>103</v>
      </c>
      <c r="E23" s="175" t="str">
        <f>IFERROR(INDEX(Master_Table[],MATCH(A23,Master_Table[PF+CCT+Tech],0),9),"-")</f>
        <v>BXRV-TR-1840G-40A0-A-23</v>
      </c>
      <c r="F23" s="175" t="s">
        <v>106</v>
      </c>
      <c r="G23" s="175">
        <f>IFERROR(IF(H23&lt;=Q23,Calculations!BG10,"-"),"-")</f>
        <v>4000.9</v>
      </c>
      <c r="H23" s="175">
        <f t="shared" si="1"/>
        <v>150</v>
      </c>
      <c r="I23" s="176">
        <f t="shared" si="2"/>
        <v>0</v>
      </c>
      <c r="J23" s="177" t="str">
        <f>IFERROR(IF(AND((N$14+N$15)&lt;= Q23,N$14&gt;0),Calculations!AP10,"-"),"-")</f>
        <v>-</v>
      </c>
      <c r="K23" s="177">
        <f>IFERROR(IF(AND((N$14+N$15)&lt;= Q23,N$15&gt;0),Calculations!AZ10,"-"),"-")</f>
        <v>32.305088292478246</v>
      </c>
      <c r="L23" s="177">
        <f t="shared" si="0"/>
        <v>4.8457632438717368</v>
      </c>
      <c r="M23" s="175">
        <f>IFERROR(MROUND(IF(H23=$N$14+$N$15,Calculations!AE10,"-"),1),"-")</f>
        <v>753</v>
      </c>
      <c r="N23" s="175">
        <f t="shared" si="5"/>
        <v>155.39347716838873</v>
      </c>
      <c r="O23" s="175">
        <f t="shared" si="6"/>
        <v>678</v>
      </c>
      <c r="P23" s="175">
        <f>IFERROR(INDEX(Master_Table[],MATCH(A23,Master_Table[PF+CCT+Tech],0),COLUMN(Master_Table[Typical Current])),"-")</f>
        <v>900</v>
      </c>
      <c r="Q23" s="175">
        <f>IFERROR(INDEX(Master_Table[],MATCH(A23,Master_Table[PF+CCT+Tech],0),COLUMN(Master_Table[Max Current])),"-")</f>
        <v>1400</v>
      </c>
      <c r="R23" s="184" t="str">
        <f t="shared" si="3"/>
        <v>D</v>
      </c>
      <c r="S23" s="69"/>
      <c r="T23" s="70"/>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71"/>
      <c r="BO23" s="71"/>
      <c r="BP23" s="71"/>
      <c r="BQ23" s="71"/>
      <c r="BR23" s="71"/>
      <c r="BS23" s="71"/>
      <c r="BT23" s="71"/>
      <c r="BU23" s="71"/>
      <c r="BV23" s="71"/>
      <c r="BW23" s="71"/>
      <c r="BX23" s="71"/>
      <c r="BY23" s="71"/>
      <c r="BZ23" s="71"/>
      <c r="CA23" s="71"/>
      <c r="CB23" s="71"/>
      <c r="CC23" s="71"/>
      <c r="CD23" s="71"/>
      <c r="CE23" s="71"/>
      <c r="CF23" s="71"/>
      <c r="CG23" s="71"/>
      <c r="CH23" s="71"/>
      <c r="CI23" s="71"/>
      <c r="CJ23" s="71"/>
      <c r="CK23" s="71"/>
      <c r="CL23" s="71"/>
      <c r="CM23" s="71"/>
      <c r="CN23" s="71"/>
      <c r="CO23" s="71"/>
      <c r="CP23" s="71"/>
      <c r="CQ23" s="71"/>
      <c r="CR23" s="71"/>
      <c r="CS23" s="71"/>
      <c r="CT23" s="71"/>
      <c r="CU23" s="71"/>
      <c r="CV23" s="71"/>
      <c r="CW23" s="71"/>
      <c r="CX23" s="71"/>
      <c r="CY23" s="71"/>
      <c r="CZ23" s="71"/>
      <c r="DA23" s="71"/>
      <c r="DB23" s="71"/>
      <c r="DC23" s="71"/>
      <c r="DD23" s="71"/>
      <c r="DE23" s="71"/>
      <c r="DF23" s="71"/>
      <c r="DG23" s="71"/>
      <c r="DH23" s="71"/>
      <c r="DI23" s="71"/>
      <c r="DJ23" s="71"/>
      <c r="DK23" s="71"/>
      <c r="DL23" s="71"/>
      <c r="DM23" s="71"/>
      <c r="DN23" s="71"/>
      <c r="DO23" s="71"/>
      <c r="DP23" s="71"/>
      <c r="DQ23" s="71"/>
      <c r="DR23" s="71"/>
    </row>
    <row r="24" spans="1:142" s="76" customFormat="1" x14ac:dyDescent="0.25">
      <c r="A24" s="73" t="str">
        <f t="shared" si="4"/>
        <v>22mm-1840GDP</v>
      </c>
      <c r="B24" s="73"/>
      <c r="C24" s="28"/>
      <c r="D24" s="181" t="s">
        <v>104</v>
      </c>
      <c r="E24" s="172" t="str">
        <f>IFERROR(INDEX(Master_Table[],MATCH(A24,Master_Table[PF+CCT+Tech],0),9),"-")</f>
        <v>-</v>
      </c>
      <c r="F24" s="172" t="s">
        <v>106</v>
      </c>
      <c r="G24" s="172" t="str">
        <f>IFERROR(IF(H24&lt;=Q24,Calculations!BG11,"-"),"-")</f>
        <v>-</v>
      </c>
      <c r="H24" s="172">
        <f t="shared" si="1"/>
        <v>150</v>
      </c>
      <c r="I24" s="173">
        <f t="shared" si="2"/>
        <v>0</v>
      </c>
      <c r="J24" s="174" t="str">
        <f>IFERROR(IF(AND((N$14+N$15)&lt;= Q24,N$14&gt;0),Calculations!AP11,"-"),"-")</f>
        <v>-</v>
      </c>
      <c r="K24" s="174" t="str">
        <f>IFERROR(IF(AND((N$14+N$15)&lt;= Q24,N$15&gt;0),Calculations!AZ11,"-"),"-")</f>
        <v>-</v>
      </c>
      <c r="L24" s="174" t="str">
        <f t="shared" si="0"/>
        <v>-</v>
      </c>
      <c r="M24" s="172" t="str">
        <f>IFERROR(MROUND(IF(H24=$N$14+$N$15,Calculations!AE11,"-"),1),"-")</f>
        <v>-</v>
      </c>
      <c r="N24" s="172" t="str">
        <f t="shared" si="5"/>
        <v>-</v>
      </c>
      <c r="O24" s="172" t="str">
        <f t="shared" si="6"/>
        <v>-</v>
      </c>
      <c r="P24" s="172" t="str">
        <f>IFERROR(INDEX(Master_Table[],MATCH(A24,Master_Table[PF+CCT+Tech],0),COLUMN(Master_Table[Typical Current])),"-")</f>
        <v>-</v>
      </c>
      <c r="Q24" s="172" t="str">
        <f>IFERROR(INDEX(Master_Table[],MATCH(A24,Master_Table[PF+CCT+Tech],0),COLUMN(Master_Table[Max Current])),"-")</f>
        <v>-</v>
      </c>
      <c r="R24" s="182" t="str">
        <f t="shared" si="3"/>
        <v>-</v>
      </c>
      <c r="S24" s="58"/>
      <c r="T24" s="74"/>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c r="BD24" s="75"/>
      <c r="BE24" s="75"/>
      <c r="BF24" s="75"/>
      <c r="BG24" s="75"/>
      <c r="BH24" s="75"/>
      <c r="BI24" s="75"/>
      <c r="BJ24" s="75"/>
      <c r="BK24" s="75"/>
      <c r="BL24" s="75"/>
      <c r="BM24" s="75"/>
      <c r="BN24" s="75"/>
      <c r="BO24" s="75"/>
      <c r="BP24" s="75"/>
      <c r="BQ24" s="75"/>
      <c r="BR24" s="75"/>
      <c r="BS24" s="75"/>
      <c r="BT24" s="75"/>
      <c r="BU24" s="75"/>
      <c r="BV24" s="75"/>
      <c r="BW24" s="75"/>
      <c r="BX24" s="75"/>
      <c r="BY24" s="75"/>
      <c r="BZ24" s="75"/>
      <c r="CA24" s="75"/>
      <c r="CB24" s="75"/>
      <c r="CC24" s="75"/>
      <c r="CD24" s="75"/>
      <c r="CE24" s="75"/>
      <c r="CF24" s="75"/>
      <c r="CG24" s="75"/>
      <c r="CH24" s="75"/>
      <c r="CI24" s="75"/>
      <c r="CJ24" s="75"/>
      <c r="CK24" s="75"/>
      <c r="CL24" s="75"/>
      <c r="CM24" s="75"/>
      <c r="CN24" s="75"/>
      <c r="CO24" s="75"/>
      <c r="CP24" s="75"/>
      <c r="CQ24" s="75"/>
      <c r="CR24" s="75"/>
      <c r="CS24" s="75"/>
      <c r="CT24" s="75"/>
      <c r="CU24" s="75"/>
      <c r="CV24" s="75"/>
      <c r="CW24" s="75"/>
      <c r="CX24" s="75"/>
      <c r="CY24" s="75"/>
      <c r="CZ24" s="75"/>
      <c r="DA24" s="75"/>
      <c r="DB24" s="75"/>
      <c r="DC24" s="75"/>
      <c r="DD24" s="75"/>
      <c r="DE24" s="75"/>
      <c r="DF24" s="75"/>
      <c r="DG24" s="75"/>
      <c r="DH24" s="75"/>
      <c r="DI24" s="75"/>
      <c r="DJ24" s="75"/>
      <c r="DK24" s="75"/>
      <c r="DL24" s="75"/>
      <c r="DM24" s="75"/>
      <c r="DN24" s="75"/>
      <c r="DO24" s="75"/>
      <c r="DP24" s="75"/>
      <c r="DQ24" s="75"/>
      <c r="DR24" s="75"/>
      <c r="DV24" s="77"/>
      <c r="DW24" s="77"/>
      <c r="DX24" s="77"/>
      <c r="DY24" s="77"/>
      <c r="DZ24" s="77"/>
      <c r="EA24" s="77"/>
      <c r="EB24" s="77"/>
      <c r="EC24" s="77"/>
      <c r="ED24" s="77"/>
      <c r="EE24" s="77"/>
      <c r="EF24" s="77"/>
      <c r="EG24" s="77"/>
      <c r="EH24" s="77"/>
      <c r="EI24" s="77"/>
      <c r="EJ24" s="77"/>
      <c r="EK24" s="77"/>
      <c r="EL24" s="77"/>
    </row>
    <row r="25" spans="1:142" s="76" customFormat="1" x14ac:dyDescent="0.25">
      <c r="A25" s="73" t="str">
        <f t="shared" si="4"/>
        <v>29mm-1840GDP</v>
      </c>
      <c r="B25" s="73"/>
      <c r="C25" s="28"/>
      <c r="D25" s="346" t="s">
        <v>105</v>
      </c>
      <c r="E25" s="347" t="str">
        <f>IFERROR(INDEX(Master_Table[],MATCH(A25,Master_Table[PF+CCT+Tech],0),9),"-")</f>
        <v>-</v>
      </c>
      <c r="F25" s="347" t="s">
        <v>106</v>
      </c>
      <c r="G25" s="347" t="str">
        <f>IFERROR(IF(H25&lt;=Q25,Calculations!BG12,"-"),"-")</f>
        <v>-</v>
      </c>
      <c r="H25" s="347">
        <f t="shared" si="1"/>
        <v>150</v>
      </c>
      <c r="I25" s="348">
        <f t="shared" si="2"/>
        <v>0</v>
      </c>
      <c r="J25" s="349" t="str">
        <f>IFERROR(IF(AND((N$14+N$15)&lt;= Q25,N$14&gt;0),Calculations!AP12,"-"),"-")</f>
        <v>-</v>
      </c>
      <c r="K25" s="349" t="str">
        <f>IFERROR(IF(AND((N$14+N$15)&lt;= Q25,N$15&gt;0),Calculations!AZ12,"-"),"-")</f>
        <v>-</v>
      </c>
      <c r="L25" s="349" t="str">
        <f t="shared" si="0"/>
        <v>-</v>
      </c>
      <c r="M25" s="347" t="str">
        <f>IFERROR(MROUND(IF(H25=$N$14+$N$15,Calculations!AE12,"-"),1),"-")</f>
        <v>-</v>
      </c>
      <c r="N25" s="347" t="str">
        <f t="shared" si="5"/>
        <v>-</v>
      </c>
      <c r="O25" s="347" t="str">
        <f t="shared" si="6"/>
        <v>-</v>
      </c>
      <c r="P25" s="347" t="str">
        <f>IFERROR(INDEX(Master_Table[],MATCH(A25,Master_Table[PF+CCT+Tech],0),COLUMN(Master_Table[Typical Current])),"-")</f>
        <v>-</v>
      </c>
      <c r="Q25" s="347" t="str">
        <f>IFERROR(INDEX(Master_Table[],MATCH(A25,Master_Table[PF+CCT+Tech],0),COLUMN(Master_Table[Max Current])),"-")</f>
        <v>-</v>
      </c>
      <c r="R25" s="350" t="str">
        <f t="shared" si="3"/>
        <v>-</v>
      </c>
      <c r="S25" s="58"/>
      <c r="T25" s="74"/>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c r="BD25" s="75"/>
      <c r="BE25" s="75"/>
      <c r="BF25" s="75"/>
      <c r="BG25" s="75"/>
      <c r="BH25" s="75"/>
      <c r="BI25" s="75"/>
      <c r="BJ25" s="75"/>
      <c r="BK25" s="75"/>
      <c r="BL25" s="75"/>
      <c r="BM25" s="75"/>
      <c r="BN25" s="75"/>
      <c r="BO25" s="75"/>
      <c r="BP25" s="75"/>
      <c r="BQ25" s="75"/>
      <c r="BR25" s="75"/>
      <c r="BS25" s="75"/>
      <c r="BT25" s="75"/>
      <c r="BU25" s="75"/>
      <c r="BV25" s="75"/>
      <c r="BW25" s="75"/>
      <c r="BX25" s="75"/>
      <c r="BY25" s="75"/>
      <c r="BZ25" s="75"/>
      <c r="CA25" s="75"/>
      <c r="CB25" s="75"/>
      <c r="CC25" s="75"/>
      <c r="CD25" s="75"/>
      <c r="CE25" s="75"/>
      <c r="CF25" s="75"/>
      <c r="CG25" s="75"/>
      <c r="CH25" s="75"/>
      <c r="CI25" s="75"/>
      <c r="CJ25" s="75"/>
      <c r="CK25" s="75"/>
      <c r="CL25" s="75"/>
      <c r="CM25" s="75"/>
      <c r="CN25" s="75"/>
      <c r="CO25" s="75"/>
      <c r="CP25" s="75"/>
      <c r="CQ25" s="75"/>
      <c r="CR25" s="75"/>
      <c r="CS25" s="75"/>
      <c r="CT25" s="75"/>
      <c r="CU25" s="75"/>
      <c r="CV25" s="75"/>
      <c r="CW25" s="75"/>
      <c r="CX25" s="75"/>
      <c r="CY25" s="75"/>
      <c r="CZ25" s="75"/>
      <c r="DA25" s="75"/>
      <c r="DB25" s="75"/>
      <c r="DC25" s="75"/>
      <c r="DD25" s="75"/>
      <c r="DE25" s="75"/>
      <c r="DF25" s="75"/>
      <c r="DG25" s="75"/>
      <c r="DH25" s="75"/>
      <c r="DI25" s="75"/>
      <c r="DJ25" s="75"/>
      <c r="DK25" s="75"/>
      <c r="DL25" s="75"/>
      <c r="DM25" s="75"/>
      <c r="DN25" s="75"/>
      <c r="DO25" s="75"/>
      <c r="DP25" s="75"/>
      <c r="DQ25" s="75"/>
      <c r="DR25" s="75"/>
      <c r="DV25" s="77"/>
      <c r="DW25" s="77"/>
      <c r="DX25" s="77"/>
      <c r="DY25" s="77"/>
      <c r="DZ25" s="77"/>
      <c r="EA25" s="77"/>
      <c r="EB25" s="77"/>
      <c r="EC25" s="77"/>
      <c r="ED25" s="77"/>
      <c r="EE25" s="77"/>
      <c r="EF25" s="77"/>
      <c r="EG25" s="77"/>
      <c r="EH25" s="77"/>
      <c r="EI25" s="77"/>
      <c r="EJ25" s="77"/>
      <c r="EK25" s="77"/>
      <c r="EL25" s="77"/>
    </row>
    <row r="26" spans="1:142" s="64" customFormat="1" ht="15" x14ac:dyDescent="0.2">
      <c r="A26" s="45"/>
      <c r="B26" s="45"/>
      <c r="C26" s="224"/>
      <c r="D26" s="225"/>
      <c r="E26" s="226"/>
      <c r="F26" s="226"/>
      <c r="G26" s="227"/>
      <c r="H26" s="226"/>
      <c r="I26" s="226"/>
      <c r="J26" s="226"/>
      <c r="K26" s="226"/>
      <c r="L26" s="228"/>
      <c r="M26" s="228"/>
      <c r="N26" s="226"/>
      <c r="O26" s="226"/>
      <c r="P26" s="226"/>
      <c r="Q26" s="228"/>
      <c r="R26" s="228"/>
      <c r="S26" s="229"/>
      <c r="T26" s="62"/>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c r="BQ26" s="63"/>
      <c r="BR26" s="63"/>
      <c r="BS26" s="63"/>
      <c r="BT26" s="63"/>
      <c r="BU26" s="63"/>
      <c r="BV26" s="63"/>
      <c r="BW26" s="63"/>
      <c r="BX26" s="63"/>
      <c r="BY26" s="63"/>
      <c r="BZ26" s="63"/>
      <c r="CA26" s="63"/>
      <c r="CB26" s="63"/>
      <c r="CC26" s="63"/>
      <c r="CD26" s="63"/>
      <c r="CE26" s="63"/>
      <c r="CF26" s="63"/>
      <c r="CG26" s="63"/>
      <c r="CH26" s="63"/>
      <c r="CI26" s="63"/>
      <c r="CJ26" s="63"/>
      <c r="CK26" s="63"/>
      <c r="CL26" s="63"/>
      <c r="CM26" s="63"/>
      <c r="CN26" s="63"/>
      <c r="CO26" s="63"/>
      <c r="CP26" s="63"/>
      <c r="CQ26" s="63"/>
      <c r="CR26" s="63"/>
      <c r="CS26" s="63"/>
      <c r="CT26" s="63"/>
      <c r="CU26" s="63"/>
      <c r="CV26" s="63"/>
      <c r="CW26" s="63"/>
      <c r="CX26" s="63"/>
      <c r="CY26" s="63"/>
      <c r="CZ26" s="63"/>
      <c r="DA26" s="63"/>
      <c r="DB26" s="63"/>
      <c r="DC26" s="63"/>
      <c r="DD26" s="63"/>
      <c r="DE26" s="63"/>
      <c r="DF26" s="63"/>
      <c r="DG26" s="63"/>
      <c r="DH26" s="63"/>
      <c r="DI26" s="63"/>
      <c r="DJ26" s="63"/>
      <c r="DK26" s="63"/>
      <c r="DL26" s="63"/>
      <c r="DM26" s="63"/>
      <c r="DN26" s="63"/>
      <c r="DO26" s="63"/>
      <c r="DP26" s="63"/>
      <c r="DQ26" s="63"/>
      <c r="DR26" s="63"/>
    </row>
    <row r="28" spans="1:142" ht="18" x14ac:dyDescent="0.25">
      <c r="C28" s="23"/>
      <c r="D28" s="49" t="s">
        <v>120</v>
      </c>
      <c r="E28" s="50"/>
      <c r="F28" s="25"/>
      <c r="G28" s="27"/>
      <c r="H28" s="25"/>
      <c r="I28" s="25"/>
      <c r="J28" s="25"/>
      <c r="K28" s="25"/>
      <c r="L28" s="27"/>
      <c r="M28" s="25"/>
      <c r="N28" s="27" t="s">
        <v>205</v>
      </c>
      <c r="O28" s="27"/>
      <c r="P28" s="27"/>
      <c r="Q28" s="27"/>
      <c r="R28" s="27"/>
      <c r="S28" s="51"/>
    </row>
    <row r="29" spans="1:142" x14ac:dyDescent="0.25">
      <c r="C29" s="28"/>
      <c r="D29" s="30" t="s">
        <v>16</v>
      </c>
      <c r="E29" s="30"/>
      <c r="F29" s="30"/>
      <c r="G29" s="34"/>
      <c r="H29" s="30"/>
      <c r="I29" s="30"/>
      <c r="J29" s="30"/>
      <c r="K29" s="30"/>
      <c r="L29" s="34"/>
      <c r="M29" s="34" t="s">
        <v>119</v>
      </c>
      <c r="N29" s="52">
        <v>100</v>
      </c>
      <c r="O29" s="34"/>
      <c r="P29" s="34"/>
      <c r="Q29" s="34"/>
      <c r="R29" s="34"/>
      <c r="S29" s="32"/>
    </row>
    <row r="30" spans="1:142" x14ac:dyDescent="0.25">
      <c r="C30" s="28"/>
      <c r="D30" s="30"/>
      <c r="E30" s="30"/>
      <c r="F30" s="30"/>
      <c r="G30" s="34"/>
      <c r="H30" s="30"/>
      <c r="I30" s="30"/>
      <c r="J30" s="30"/>
      <c r="K30" s="30"/>
      <c r="L30" s="34"/>
      <c r="M30" s="34" t="s">
        <v>216</v>
      </c>
      <c r="N30" s="52">
        <v>4000</v>
      </c>
      <c r="O30" s="34"/>
      <c r="P30" s="34"/>
      <c r="Q30" s="34"/>
      <c r="R30" s="34"/>
      <c r="S30" s="32"/>
    </row>
    <row r="31" spans="1:142" ht="18" x14ac:dyDescent="0.25">
      <c r="C31" s="28"/>
      <c r="D31" s="54" t="s">
        <v>107</v>
      </c>
      <c r="E31" s="30"/>
      <c r="F31" s="30"/>
      <c r="G31" s="34"/>
      <c r="H31" s="31"/>
      <c r="I31" s="31"/>
      <c r="J31" s="31"/>
      <c r="K31" s="31"/>
      <c r="L31" s="34"/>
      <c r="M31" s="34"/>
      <c r="N31" s="34"/>
      <c r="O31" s="34"/>
      <c r="P31" s="55"/>
      <c r="Q31" s="55"/>
      <c r="R31" s="55"/>
      <c r="S31" s="32"/>
    </row>
    <row r="32" spans="1:142" ht="63.75" x14ac:dyDescent="0.25">
      <c r="C32" s="28"/>
      <c r="D32" s="178" t="s">
        <v>99</v>
      </c>
      <c r="E32" s="179" t="s">
        <v>8</v>
      </c>
      <c r="F32" s="179" t="s">
        <v>17</v>
      </c>
      <c r="G32" s="179" t="s">
        <v>121</v>
      </c>
      <c r="H32" s="179" t="s">
        <v>122</v>
      </c>
      <c r="I32" s="179" t="s">
        <v>110</v>
      </c>
      <c r="J32" s="179" t="s">
        <v>109</v>
      </c>
      <c r="K32" s="179" t="s">
        <v>147</v>
      </c>
      <c r="L32" s="179" t="s">
        <v>148</v>
      </c>
      <c r="M32" s="179" t="s">
        <v>149</v>
      </c>
      <c r="N32" s="179" t="str">
        <f>"Efficacy DC @ 
"&amp;$D$10&amp;" = "&amp;$I$8&amp;"°C"</f>
        <v>Efficacy DC @ 
Case = 25°C</v>
      </c>
      <c r="O32" s="179" t="str">
        <f>"Min. Lumen DC @ 
"&amp;$D$10&amp;" = "&amp;$I$8&amp;"°C"</f>
        <v>Min. Lumen DC @ 
Case = 25°C</v>
      </c>
      <c r="P32" s="179" t="s">
        <v>218</v>
      </c>
      <c r="Q32" s="179" t="s">
        <v>219</v>
      </c>
      <c r="R32" s="180" t="s">
        <v>236</v>
      </c>
      <c r="S32" s="32"/>
    </row>
    <row r="33" spans="1:19" x14ac:dyDescent="0.25">
      <c r="A33" s="45" t="str">
        <f>D33&amp;C33&amp;"-"&amp;L$6&amp;F33</f>
        <v>6mm-1840GDP</v>
      </c>
      <c r="C33" s="60"/>
      <c r="D33" s="181" t="s">
        <v>98</v>
      </c>
      <c r="E33" s="172" t="str">
        <f>IFERROR(INDEX(Master_Table[],MATCH(A33,Master_Table[PF+CCT+Tech],0),9),"-")</f>
        <v>BXRV-TR-1840G-06A0-B-23</v>
      </c>
      <c r="F33" s="172" t="s">
        <v>106</v>
      </c>
      <c r="G33" s="172">
        <f>IFERROR(IF(AND((Calculations!AD16+Calculations!AK16)&lt;=Simulator!Q33,Calculations!AD16&lt;=Q33,Calculations!AD16&gt;0),Calculations!AD16,0),"-")</f>
        <v>0.13329407613611452</v>
      </c>
      <c r="H33" s="172">
        <f>IFERROR(IF(AND((Calculations!AD16+Calculations!AK16)&lt;=Simulator!Q33,Calculations!AK16&lt;=Q33,Calculations!AK16&gt;0),Calculations!AK16,0),"-")</f>
        <v>22.297886980083597</v>
      </c>
      <c r="I33" s="172">
        <f>IFERROR(IF((G33+H33)&lt;=Q33,(G33+H33),"-"), "-")</f>
        <v>22.43118105621971</v>
      </c>
      <c r="J33" s="174">
        <f>IFERROR(((G33/(G33+H33))),"-")</f>
        <v>5.9423565706164536E-3</v>
      </c>
      <c r="K33" s="174" t="str">
        <f>IFERROR(IF(G33&gt;0.5,Calculations!AT16,"-"),"-")</f>
        <v>-</v>
      </c>
      <c r="L33" s="174">
        <f>IFERROR(IF(H33&gt;0.5,Calculations!BC16,"-"),"-")</f>
        <v>32.913452823867672</v>
      </c>
      <c r="M33" s="172">
        <f t="shared" ref="M33:M40" si="7">IF((IFERROR(G33*K33/1000,0)+IFERROR(H33*L33/1000,0))=0,"-",(IFERROR(G33*K33/1000,0)+IFERROR(H33*L33/1000,0)))</f>
        <v>0.73390045119091463</v>
      </c>
      <c r="N33" s="172">
        <f>IFERROR(N$29/M33,"-")</f>
        <v>136.25826205410834</v>
      </c>
      <c r="O33" s="172">
        <f>IFERROR((0.9*N$29)*(M33/M33),"-")</f>
        <v>90</v>
      </c>
      <c r="P33" s="172">
        <f>IFERROR(INDEX(Master_Table[],MATCH(A33,Master_Table[PF+CCT+Tech],0),COLUMN(Master_Table[Typical Current])),"-")</f>
        <v>150</v>
      </c>
      <c r="Q33" s="172">
        <f>IFERROR(INDEX(Master_Table[],MATCH(A33,Master_Table[PF+CCT+Tech],0),COLUMN(Master_Table[Max Current])),"-")</f>
        <v>200</v>
      </c>
      <c r="R33" s="182" t="str">
        <f>IF($N$29="-","-",IF((1.5+$N$29/120)&gt;M33,IF(N33*0.926&lt;85,"G",IF(AND(N33*0.926&gt;=85, N33*0.926&lt;110),"F",IF(AND(N33*0.926&gt;=110,N33*0.926&lt;135),"E",IF(AND(N33*0.926&gt;=135,N33*0.926&lt;160),"D",IF(AND(N33*0.926&gt;=160,N33*0.926&lt;185),"C",IF(AND(N33*0.926&gt;=185,N33*0.926&lt;210),"B",IF(N33*0.926&gt;=210,"A","-"))))))),"-"))</f>
        <v>E</v>
      </c>
      <c r="S33" s="61"/>
    </row>
    <row r="34" spans="1:19" x14ac:dyDescent="0.25">
      <c r="A34" s="45" t="str">
        <f>D34&amp;C34&amp;"-"&amp;L$6&amp;F34</f>
        <v>9mm-1840GDP-A</v>
      </c>
      <c r="C34" s="60"/>
      <c r="D34" s="185" t="s">
        <v>100</v>
      </c>
      <c r="E34" s="186" t="str">
        <f>IFERROR(INDEX(Master_Table[],MATCH(A34,Master_Table[PF+CCT+Tech],0),9),"-")</f>
        <v>BXRV-TR-1840G-10A0-A-25</v>
      </c>
      <c r="F34" s="186" t="s">
        <v>177</v>
      </c>
      <c r="G34" s="186">
        <f>IFERROR(IF(AND((Calculations!AD17+Calculations!AK17)&lt;=Simulator!Q34,Calculations!AD17&lt;=Q34,Calculations!AD17&gt;0),Calculations!AD17,0),"-")</f>
        <v>7.068479430889725E-2</v>
      </c>
      <c r="H34" s="186">
        <f>IFERROR(IF(AND((Calculations!AD17+Calculations!AK17)&lt;=Simulator!Q34,Calculations!AK17&lt;=Q34,Calculations!AK17&gt;0),Calculations!AK17,0),"-")</f>
        <v>41.422685931290921</v>
      </c>
      <c r="I34" s="186">
        <f t="shared" ref="I34:I40" si="8">IFERROR(IF((G34+H34)&lt;=Q34,(G34+H34),"-"), "-")</f>
        <v>41.493370725599817</v>
      </c>
      <c r="J34" s="187">
        <f t="shared" ref="J34:J40" si="9">IFERROR(((G34/(G34+H34))),"-")</f>
        <v>1.7035201785929493E-3</v>
      </c>
      <c r="K34" s="188" t="str">
        <f>IFERROR(IF(G34&gt;0.5,Calculations!AT17,"-"),"-")</f>
        <v>-</v>
      </c>
      <c r="L34" s="188">
        <f>IFERROR(IF(H34&gt;0.5,Calculations!BC17,"-"),"-")</f>
        <v>16.451034716598151</v>
      </c>
      <c r="M34" s="188">
        <f t="shared" si="7"/>
        <v>0.68144604431040878</v>
      </c>
      <c r="N34" s="186">
        <f t="shared" ref="N34:N39" si="10">IFERROR(N$29/M34,"-")</f>
        <v>146.74676129523252</v>
      </c>
      <c r="O34" s="190">
        <f>IFERROR((0.9*N$29)*(M34/M34),"-")</f>
        <v>90</v>
      </c>
      <c r="P34" s="190">
        <f>IFERROR(INDEX(Master_Table[],MATCH(A34,Master_Table[PF+CCT+Tech],0),COLUMN(Master_Table[Typical Current])),"-")</f>
        <v>500</v>
      </c>
      <c r="Q34" s="190">
        <f>IFERROR(INDEX(Master_Table[],MATCH(A34,Master_Table[PF+CCT+Tech],0),COLUMN(Master_Table[Max Current])),"-")</f>
        <v>700</v>
      </c>
      <c r="R34" s="223" t="str">
        <f t="shared" ref="R34:R40" si="11">IF($N$29="-","-",IF((1.5+$N$29/120)&gt;M34,IF(N34*0.926&lt;85,"G",IF(AND(N34*0.926&gt;=85, N34*0.926&lt;110),"F",IF(AND(N34*0.926&gt;=110,N34*0.926&lt;135),"E",IF(AND(N34*0.926&gt;=135,N34*0.926&lt;160),"D",IF(AND(N34*0.926&gt;=160,N34*0.926&lt;185),"C",IF(AND(N34*0.926&gt;=185,N34*0.926&lt;210),"B",IF(N34*0.926&gt;=210,"A","-"))))))),"-"))</f>
        <v>D</v>
      </c>
      <c r="S34" s="61"/>
    </row>
    <row r="35" spans="1:19" x14ac:dyDescent="0.25">
      <c r="A35" s="45" t="str">
        <f t="shared" ref="A35:A40" si="12">D35&amp;C35&amp;"-"&amp;L$6&amp;F35</f>
        <v>9mm-1840GDP-B</v>
      </c>
      <c r="C35" s="60"/>
      <c r="D35" s="65" t="s">
        <v>100</v>
      </c>
      <c r="E35" s="66" t="str">
        <f>IFERROR(INDEX(Master_Table[],MATCH(A35,Master_Table[PF+CCT+Tech],0),9),"-")</f>
        <v>BXRV-TR-1840G-10A0-B-25</v>
      </c>
      <c r="F35" s="66" t="s">
        <v>178</v>
      </c>
      <c r="G35" s="66">
        <f>IFERROR(IF(AND((Calculations!AD18+Calculations!AK18)&lt;=Simulator!Q35,Calculations!AD18&lt;=Q35,Calculations!AD18&gt;0),Calculations!AD18,0),"-")</f>
        <v>3.3362772553492862E-2</v>
      </c>
      <c r="H35" s="66">
        <f>IFERROR(IF(AND((Calculations!AD18+Calculations!AK18)&lt;=Simulator!Q35,Calculations!AK18&lt;=Q35,Calculations!AK18&gt;0),Calculations!AK18,0),"-")</f>
        <v>20.987859548237207</v>
      </c>
      <c r="I35" s="66">
        <f t="shared" si="8"/>
        <v>21.021222320790699</v>
      </c>
      <c r="J35" s="107">
        <f>IFERROR(((G35/(G35+H35))),"-")</f>
        <v>1.5870995532213153E-3</v>
      </c>
      <c r="K35" s="67" t="str">
        <f>IFERROR(IF(G35&gt;0.5,Calculations!AT18,"-"),"-")</f>
        <v>-</v>
      </c>
      <c r="L35" s="67">
        <f>IFERROR(IF(H35&gt;0.5,Calculations!BC18,"-"),"-")</f>
        <v>31.838607999037421</v>
      </c>
      <c r="M35" s="67">
        <f t="shared" si="7"/>
        <v>0.66822423289517907</v>
      </c>
      <c r="N35" s="66">
        <f t="shared" si="10"/>
        <v>149.650364469327</v>
      </c>
      <c r="O35" s="66">
        <f t="shared" ref="O35:O40" si="13">IFERROR((0.9*N$29)*(M35/M35),"-")</f>
        <v>90</v>
      </c>
      <c r="P35" s="66">
        <f>IFERROR(INDEX(Master_Table[],MATCH(A35,Master_Table[PF+CCT+Tech],0),COLUMN(Master_Table[Typical Current])),"-")</f>
        <v>250</v>
      </c>
      <c r="Q35" s="66">
        <f>IFERROR(INDEX(Master_Table[],MATCH(A35,Master_Table[PF+CCT+Tech],0),COLUMN(Master_Table[Max Current])),"-")</f>
        <v>480</v>
      </c>
      <c r="R35" s="131" t="str">
        <f t="shared" si="11"/>
        <v>D</v>
      </c>
      <c r="S35" s="61"/>
    </row>
    <row r="36" spans="1:19" x14ac:dyDescent="0.25">
      <c r="A36" s="45" t="str">
        <f t="shared" si="12"/>
        <v>13mm-1840GDP</v>
      </c>
      <c r="C36" s="28"/>
      <c r="D36" s="78" t="s">
        <v>101</v>
      </c>
      <c r="E36" s="79" t="str">
        <f>IFERROR(INDEX(Master_Table[],MATCH(A36,Master_Table[PF+CCT+Tech],0),9),"-")</f>
        <v>BXRV-TR-1840G-20A0-A-23</v>
      </c>
      <c r="F36" s="79" t="s">
        <v>106</v>
      </c>
      <c r="G36" s="79">
        <f>IFERROR(IF(AND((Calculations!AD19+Calculations!AK19)&lt;=Simulator!Q36,Calculations!AD19&lt;=Q36,Calculations!AD19&gt;0),Calculations!AD19,0),"-")</f>
        <v>3.5592302398864441E-2</v>
      </c>
      <c r="H36" s="79">
        <f>IFERROR(IF(AND((Calculations!AD19+Calculations!AK19)&lt;=Simulator!Q36,Calculations!AK19&lt;=Q36,Calculations!AK19&gt;0),Calculations!AK19,0),"-")</f>
        <v>21.252217079259353</v>
      </c>
      <c r="I36" s="79">
        <f t="shared" si="8"/>
        <v>21.287809381658217</v>
      </c>
      <c r="J36" s="108">
        <f t="shared" si="9"/>
        <v>1.6719570229490647E-3</v>
      </c>
      <c r="K36" s="80" t="str">
        <f>IFERROR(IF(G36&gt;0.5,Calculations!AT19,"-"),"-")</f>
        <v>-</v>
      </c>
      <c r="L36" s="80">
        <f>IFERROR(IF(H36&gt;0.5,Calculations!BC19,"-"),"-")</f>
        <v>31.224333825938398</v>
      </c>
      <c r="M36" s="80">
        <f t="shared" si="7"/>
        <v>0.66358632062410361</v>
      </c>
      <c r="N36" s="79">
        <f>IFERROR(N$29/M36,"-")</f>
        <v>150.69629510438054</v>
      </c>
      <c r="O36" s="79">
        <f t="shared" si="13"/>
        <v>90</v>
      </c>
      <c r="P36" s="79">
        <f>IFERROR(INDEX(Master_Table[],MATCH(A36,Master_Table[PF+CCT+Tech],0),COLUMN(Master_Table[Typical Current])),"-")</f>
        <v>500</v>
      </c>
      <c r="Q36" s="79">
        <f>IFERROR(INDEX(Master_Table[],MATCH(A36,Master_Table[PF+CCT+Tech],0),COLUMN(Master_Table[Max Current])),"-")</f>
        <v>700</v>
      </c>
      <c r="R36" s="189" t="str">
        <f t="shared" si="11"/>
        <v>D</v>
      </c>
      <c r="S36" s="58"/>
    </row>
    <row r="37" spans="1:19" x14ac:dyDescent="0.25">
      <c r="A37" s="45" t="str">
        <f>D37&amp;C37&amp;"-"&amp;L$6&amp;F37</f>
        <v>15mm-1840GDP</v>
      </c>
      <c r="C37" s="28"/>
      <c r="D37" s="65" t="s">
        <v>102</v>
      </c>
      <c r="E37" s="66" t="str">
        <f>IFERROR(INDEX(Master_Table[],MATCH(A37,Master_Table[PF+CCT+Tech],0),9),"-")</f>
        <v>-</v>
      </c>
      <c r="F37" s="66" t="s">
        <v>106</v>
      </c>
      <c r="G37" s="66" t="str">
        <f>IFERROR(IF(AND((Calculations!AD20+Calculations!AK20)&lt;=Simulator!Q37,Calculations!AD20&lt;=Q37,Calculations!AD20&gt;0),Calculations!AD20,0),"-")</f>
        <v>-</v>
      </c>
      <c r="H37" s="66" t="str">
        <f>IFERROR(IF(AND((Calculations!AD20+Calculations!AK20)&lt;=Simulator!Q37,Calculations!AK20&lt;=Q37,Calculations!AK20&gt;0),Calculations!AK20,0),"-")</f>
        <v>-</v>
      </c>
      <c r="I37" s="66" t="str">
        <f t="shared" si="8"/>
        <v>-</v>
      </c>
      <c r="J37" s="107" t="str">
        <f t="shared" si="9"/>
        <v>-</v>
      </c>
      <c r="K37" s="67" t="str">
        <f>IFERROR(IF(G37&gt;0.5,Calculations!AT20,"-"),"-")</f>
        <v>-</v>
      </c>
      <c r="L37" s="67" t="str">
        <f>IFERROR(IF(H37&gt;0.5,Calculations!BC20,"-"),"-")</f>
        <v>-</v>
      </c>
      <c r="M37" s="67" t="str">
        <f t="shared" si="7"/>
        <v>-</v>
      </c>
      <c r="N37" s="66" t="str">
        <f t="shared" si="10"/>
        <v>-</v>
      </c>
      <c r="O37" s="66" t="str">
        <f t="shared" si="13"/>
        <v>-</v>
      </c>
      <c r="P37" s="66" t="str">
        <f>IFERROR(INDEX(Master_Table[],MATCH(A37,Master_Table[PF+CCT+Tech],0),COLUMN(Master_Table[Typical Current])),"-")</f>
        <v>-</v>
      </c>
      <c r="Q37" s="66" t="str">
        <f>IFERROR(INDEX(Master_Table[],MATCH(A37,Master_Table[PF+CCT+Tech],0),COLUMN(Master_Table[Max Current])),"-")</f>
        <v>-</v>
      </c>
      <c r="R37" s="131" t="str">
        <f t="shared" si="11"/>
        <v>-</v>
      </c>
      <c r="S37" s="58"/>
    </row>
    <row r="38" spans="1:19" x14ac:dyDescent="0.25">
      <c r="A38" s="45" t="str">
        <f t="shared" si="12"/>
        <v>18mm-1840GDP</v>
      </c>
      <c r="C38" s="68"/>
      <c r="D38" s="78" t="s">
        <v>103</v>
      </c>
      <c r="E38" s="79" t="str">
        <f>IFERROR(INDEX(Master_Table[],MATCH(A38,Master_Table[PF+CCT+Tech],0),9),"-")</f>
        <v>BXRV-TR-1840G-40A0-A-23</v>
      </c>
      <c r="F38" s="79" t="s">
        <v>106</v>
      </c>
      <c r="G38" s="79">
        <f>IFERROR(IF(AND((Calculations!AD21+Calculations!AK21)&lt;=Simulator!Q38,Calculations!AD21&lt;=Q38,Calculations!AD21&gt;0),Calculations!AD21,0),"-")</f>
        <v>3.4999125982417077E-2</v>
      </c>
      <c r="H38" s="79">
        <f>IFERROR(IF(AND((Calculations!AD21+Calculations!AK21)&lt;=Simulator!Q38,Calculations!AK21&lt;=Q38,Calculations!AK21&gt;0),Calculations!AK21,0),"-")</f>
        <v>19.932244458327791</v>
      </c>
      <c r="I38" s="79">
        <f t="shared" si="8"/>
        <v>19.967243584310207</v>
      </c>
      <c r="J38" s="108">
        <f t="shared" si="9"/>
        <v>1.7528271158027326E-3</v>
      </c>
      <c r="K38" s="80" t="str">
        <f>IFERROR(IF(G38&gt;0.5,Calculations!AT21,"-"),"-")</f>
        <v>-</v>
      </c>
      <c r="L38" s="80">
        <f>IFERROR(IF(H38&gt;0.5,Calculations!BC21,"-"),"-")</f>
        <v>31.374649516663371</v>
      </c>
      <c r="M38" s="80">
        <f t="shared" si="7"/>
        <v>0.62536718396049018</v>
      </c>
      <c r="N38" s="79">
        <f t="shared" si="10"/>
        <v>159.90605609762514</v>
      </c>
      <c r="O38" s="79">
        <f t="shared" si="13"/>
        <v>90</v>
      </c>
      <c r="P38" s="79">
        <f>IFERROR(INDEX(Master_Table[],MATCH(A38,Master_Table[PF+CCT+Tech],0),COLUMN(Master_Table[Typical Current])),"-")</f>
        <v>900</v>
      </c>
      <c r="Q38" s="79">
        <f>IFERROR(INDEX(Master_Table[],MATCH(A38,Master_Table[PF+CCT+Tech],0),COLUMN(Master_Table[Max Current])),"-")</f>
        <v>1400</v>
      </c>
      <c r="R38" s="189" t="str">
        <f t="shared" si="11"/>
        <v>D</v>
      </c>
      <c r="S38" s="69"/>
    </row>
    <row r="39" spans="1:19" x14ac:dyDescent="0.25">
      <c r="A39" s="73" t="str">
        <f t="shared" si="12"/>
        <v>22mm-1840GDP</v>
      </c>
      <c r="C39" s="28"/>
      <c r="D39" s="65" t="s">
        <v>104</v>
      </c>
      <c r="E39" s="66" t="str">
        <f>IFERROR(INDEX(Master_Table[],MATCH(A39,Master_Table[PF+CCT+Tech],0),9),"-")</f>
        <v>-</v>
      </c>
      <c r="F39" s="66" t="s">
        <v>106</v>
      </c>
      <c r="G39" s="66" t="str">
        <f>IFERROR(IF(AND((Calculations!AD22+Calculations!AK22)&lt;=Simulator!Q39,Calculations!AD22&lt;=Q39,Calculations!AD22&gt;0),Calculations!AD22,0),"-")</f>
        <v>-</v>
      </c>
      <c r="H39" s="66" t="str">
        <f>IFERROR(IF(AND((Calculations!AD22+Calculations!AK22)&lt;=Simulator!Q39,Calculations!AK22&lt;=Q39,Calculations!AK22&gt;0),Calculations!AK22,0),"-")</f>
        <v>-</v>
      </c>
      <c r="I39" s="66" t="str">
        <f t="shared" si="8"/>
        <v>-</v>
      </c>
      <c r="J39" s="107" t="str">
        <f t="shared" si="9"/>
        <v>-</v>
      </c>
      <c r="K39" s="67" t="str">
        <f>IFERROR(IF(G39&gt;0.5,Calculations!AT22,"-"),"-")</f>
        <v>-</v>
      </c>
      <c r="L39" s="67" t="str">
        <f>IFERROR(IF(H39&gt;0.5,Calculations!BC22,"-"),"-")</f>
        <v>-</v>
      </c>
      <c r="M39" s="67" t="str">
        <f t="shared" si="7"/>
        <v>-</v>
      </c>
      <c r="N39" s="66" t="str">
        <f t="shared" si="10"/>
        <v>-</v>
      </c>
      <c r="O39" s="66" t="str">
        <f t="shared" si="13"/>
        <v>-</v>
      </c>
      <c r="P39" s="66" t="str">
        <f>IFERROR(INDEX(Master_Table[],MATCH(A39,Master_Table[PF+CCT+Tech],0),COLUMN(Master_Table[Typical Current])),"-")</f>
        <v>-</v>
      </c>
      <c r="Q39" s="66" t="str">
        <f>IFERROR(INDEX(Master_Table[],MATCH(A39,Master_Table[PF+CCT+Tech],0),COLUMN(Master_Table[Max Current])),"-")</f>
        <v>-</v>
      </c>
      <c r="R39" s="131" t="str">
        <f t="shared" si="11"/>
        <v>-</v>
      </c>
      <c r="S39" s="58"/>
    </row>
    <row r="40" spans="1:19" x14ac:dyDescent="0.25">
      <c r="A40" s="73" t="str">
        <f t="shared" si="12"/>
        <v>29mm-1840GDP</v>
      </c>
      <c r="C40" s="28"/>
      <c r="D40" s="351" t="s">
        <v>105</v>
      </c>
      <c r="E40" s="352" t="str">
        <f>IFERROR(INDEX(Master_Table[],MATCH(A40,Master_Table[PF+CCT+Tech],0),9),"-")</f>
        <v>-</v>
      </c>
      <c r="F40" s="352" t="s">
        <v>106</v>
      </c>
      <c r="G40" s="352" t="str">
        <f>IFERROR(IF(AND((Calculations!AD23+Calculations!AK23)&lt;=Simulator!Q40,Calculations!AD23&lt;=Q40,Calculations!AD23&gt;0),Calculations!AD23,0),"-")</f>
        <v>-</v>
      </c>
      <c r="H40" s="352" t="str">
        <f>IFERROR(IF(AND((Calculations!AD23+Calculations!AK23)&lt;=Simulator!Q40,Calculations!AK23&lt;=Q40,Calculations!AK23&gt;0),Calculations!AK23,0),"-")</f>
        <v>-</v>
      </c>
      <c r="I40" s="352" t="str">
        <f t="shared" si="8"/>
        <v>-</v>
      </c>
      <c r="J40" s="353" t="str">
        <f t="shared" si="9"/>
        <v>-</v>
      </c>
      <c r="K40" s="354" t="str">
        <f>IFERROR(IF(G40&gt;0.5,Calculations!AT23,"-"),"-")</f>
        <v>-</v>
      </c>
      <c r="L40" s="354" t="str">
        <f>IFERROR(IF(H40&gt;0.5,Calculations!BC23,"-"),"-")</f>
        <v>-</v>
      </c>
      <c r="M40" s="354" t="str">
        <f t="shared" si="7"/>
        <v>-</v>
      </c>
      <c r="N40" s="352" t="str">
        <f>IFERROR(N$29/M40,"-")</f>
        <v>-</v>
      </c>
      <c r="O40" s="352" t="str">
        <f t="shared" si="13"/>
        <v>-</v>
      </c>
      <c r="P40" s="352" t="str">
        <f>IFERROR(INDEX(Master_Table[],MATCH(A40,Master_Table[PF+CCT+Tech],0),COLUMN(Master_Table[Typical Current])),"-")</f>
        <v>-</v>
      </c>
      <c r="Q40" s="352" t="str">
        <f>IFERROR(INDEX(Master_Table[],MATCH(A40,Master_Table[PF+CCT+Tech],0),COLUMN(Master_Table[Max Current])),"-")</f>
        <v>-</v>
      </c>
      <c r="R40" s="355" t="str">
        <f t="shared" si="11"/>
        <v>-</v>
      </c>
      <c r="S40" s="58"/>
    </row>
    <row r="41" spans="1:19" x14ac:dyDescent="0.25">
      <c r="C41" s="224"/>
      <c r="D41" s="225"/>
      <c r="E41" s="226"/>
      <c r="F41" s="226"/>
      <c r="G41" s="227"/>
      <c r="H41" s="226"/>
      <c r="I41" s="226"/>
      <c r="J41" s="226"/>
      <c r="K41" s="226"/>
      <c r="L41" s="228"/>
      <c r="M41" s="228"/>
      <c r="N41" s="226"/>
      <c r="O41" s="226"/>
      <c r="P41" s="226"/>
      <c r="Q41" s="228"/>
      <c r="R41" s="228"/>
      <c r="S41" s="229"/>
    </row>
  </sheetData>
  <sheetProtection password="AD4E" sheet="1" objects="1" scenarios="1"/>
  <dataConsolidate/>
  <mergeCells count="4">
    <mergeCell ref="D1:N3"/>
    <mergeCell ref="I6:K6"/>
    <mergeCell ref="I8:K8"/>
    <mergeCell ref="U17:X17"/>
  </mergeCells>
  <phoneticPr fontId="61" type="noConversion"/>
  <dataValidations count="2">
    <dataValidation type="decimal" allowBlank="1" showInputMessage="1" showErrorMessage="1" errorTitle="Temperature Range Exceeded" error="You have exceeded the maximum rated temperature allowed (Tc = 105ºC). " sqref="I8 K9:M10">
      <formula1>0</formula1>
      <formula2>105</formula2>
    </dataValidation>
    <dataValidation type="whole" showInputMessage="1" showErrorMessage="1" sqref="N30">
      <formula1>1800</formula1>
      <formula2>6500</formula2>
    </dataValidation>
  </dataValidations>
  <pageMargins left="0.7" right="0.7" top="0.75" bottom="0.75" header="0.3" footer="0.3"/>
  <pageSetup paperSize="9" orientation="portrait" horizontalDpi="75" verticalDpi="75" r:id="rId1"/>
  <drawing r:id="rId2"/>
  <extLst>
    <ext xmlns:x14="http://schemas.microsoft.com/office/spreadsheetml/2009/9/main" uri="{CCE6A557-97BC-4b89-ADB6-D9C93CAAB3DF}">
      <x14:dataValidations xmlns:xm="http://schemas.microsoft.com/office/excel/2006/main" count="1">
        <x14:dataValidation type="list" showInputMessage="1" showErrorMessage="1">
          <x14:formula1>
            <xm:f>'Part Numbers'!$B$5:$B$11</xm:f>
          </x14:formula1>
          <xm:sqref>I6:K6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F105"/>
  <sheetViews>
    <sheetView workbookViewId="0">
      <selection activeCell="AK8" sqref="AK8"/>
    </sheetView>
  </sheetViews>
  <sheetFormatPr defaultRowHeight="15.75" x14ac:dyDescent="0.25"/>
  <cols>
    <col min="1" max="1" width="9.5703125" style="3" bestFit="1" customWidth="1"/>
    <col min="2" max="2" width="16.5703125" style="3" bestFit="1" customWidth="1"/>
    <col min="3" max="3" width="21.85546875" style="3" bestFit="1" customWidth="1"/>
    <col min="4" max="4" width="18.5703125" style="3" bestFit="1" customWidth="1"/>
    <col min="5" max="5" width="15.7109375" style="3" bestFit="1" customWidth="1"/>
    <col min="6" max="6" width="13.42578125" style="3" bestFit="1" customWidth="1"/>
    <col min="7" max="7" width="7.42578125" style="3" bestFit="1" customWidth="1"/>
    <col min="8" max="8" width="15" style="3" bestFit="1" customWidth="1"/>
    <col min="9" max="9" width="36.7109375" style="3" customWidth="1"/>
    <col min="10" max="10" width="16.5703125" style="3" customWidth="1"/>
    <col min="11" max="11" width="16.42578125" style="3" customWidth="1"/>
    <col min="12" max="12" width="17.85546875" style="3" bestFit="1" customWidth="1"/>
    <col min="13" max="13" width="16.5703125" style="3" customWidth="1"/>
    <col min="14" max="14" width="20.28515625" style="3" customWidth="1"/>
    <col min="15" max="15" width="16.7109375" style="3" bestFit="1" customWidth="1"/>
    <col min="16" max="16" width="10.7109375" style="3" bestFit="1" customWidth="1"/>
    <col min="17" max="17" width="13" style="3" bestFit="1" customWidth="1"/>
    <col min="18" max="18" width="13.42578125" style="3" bestFit="1" customWidth="1"/>
    <col min="19" max="19" width="10.42578125" style="3" bestFit="1" customWidth="1"/>
    <col min="20" max="20" width="10.7109375" style="3" bestFit="1" customWidth="1"/>
    <col min="21" max="21" width="13.7109375" style="3" bestFit="1" customWidth="1"/>
    <col min="22" max="22" width="14.140625" style="3" bestFit="1" customWidth="1"/>
    <col min="23" max="23" width="15.28515625" style="3" bestFit="1" customWidth="1"/>
    <col min="24" max="25" width="13.7109375" style="3" bestFit="1" customWidth="1"/>
    <col min="26" max="26" width="12.5703125" style="3" bestFit="1" customWidth="1"/>
    <col min="27" max="27" width="13.85546875" style="3" bestFit="1" customWidth="1"/>
    <col min="28" max="28" width="14.42578125" style="3" bestFit="1" customWidth="1"/>
    <col min="29" max="29" width="13.28515625" style="3" bestFit="1" customWidth="1"/>
    <col min="30" max="30" width="12.5703125" style="3" bestFit="1" customWidth="1"/>
    <col min="31" max="35" width="13.7109375" style="3" bestFit="1" customWidth="1"/>
    <col min="36" max="36" width="17.85546875" style="3" bestFit="1" customWidth="1"/>
    <col min="37" max="37" width="16.5703125" style="3" customWidth="1"/>
    <col min="38" max="38" width="20.28515625" style="3" customWidth="1"/>
    <col min="39" max="39" width="16.7109375" style="3" bestFit="1" customWidth="1"/>
    <col min="40" max="40" width="10.7109375" style="3" bestFit="1" customWidth="1"/>
    <col min="41" max="41" width="13" style="3" bestFit="1" customWidth="1"/>
    <col min="42" max="42" width="13.42578125" style="3" bestFit="1" customWidth="1"/>
    <col min="43" max="43" width="10.42578125" style="3" bestFit="1" customWidth="1"/>
    <col min="44" max="44" width="10.7109375" style="3" bestFit="1" customWidth="1"/>
    <col min="45" max="45" width="15.85546875" style="3" bestFit="1" customWidth="1"/>
    <col min="46" max="46" width="16.7109375" style="3" bestFit="1" customWidth="1"/>
    <col min="47" max="49" width="15.85546875" style="3" bestFit="1" customWidth="1"/>
    <col min="50" max="50" width="10.5703125" style="3" bestFit="1" customWidth="1"/>
    <col min="51" max="51" width="12.7109375" style="3" bestFit="1" customWidth="1"/>
    <col min="52" max="52" width="13.85546875" style="3" bestFit="1" customWidth="1"/>
    <col min="53" max="53" width="10.85546875" style="3" bestFit="1" customWidth="1"/>
    <col min="54" max="54" width="10.140625" style="3" bestFit="1" customWidth="1"/>
    <col min="55" max="59" width="11.5703125" style="3" bestFit="1" customWidth="1"/>
    <col min="60" max="69" width="15" style="3" bestFit="1" customWidth="1"/>
    <col min="70" max="74" width="15.140625" style="3" bestFit="1" customWidth="1"/>
    <col min="75" max="79" width="14.28515625" style="3" bestFit="1" customWidth="1"/>
    <col min="80" max="84" width="11.5703125" style="3" bestFit="1" customWidth="1"/>
    <col min="85" max="16384" width="9.140625" style="3"/>
  </cols>
  <sheetData>
    <row r="1" spans="1:84" x14ac:dyDescent="0.25">
      <c r="BB1" s="215"/>
      <c r="BC1" s="216"/>
      <c r="BD1" s="216"/>
      <c r="BE1" s="216"/>
      <c r="BF1" s="216"/>
      <c r="BG1" s="216"/>
      <c r="BH1" s="215"/>
      <c r="CB1" s="216"/>
      <c r="CC1" s="216"/>
      <c r="CD1" s="216"/>
      <c r="CE1" s="216"/>
      <c r="CF1" s="216"/>
    </row>
    <row r="2" spans="1:84" x14ac:dyDescent="0.25">
      <c r="A2" s="1" t="s">
        <v>21</v>
      </c>
      <c r="B2" s="1"/>
      <c r="L2" s="379" t="s">
        <v>50</v>
      </c>
      <c r="M2" s="379"/>
      <c r="N2" s="379"/>
      <c r="O2" s="379"/>
      <c r="P2" s="379" t="s">
        <v>50</v>
      </c>
      <c r="Q2" s="379"/>
      <c r="R2" s="379"/>
      <c r="S2" s="379"/>
      <c r="T2" s="379"/>
      <c r="U2" s="379" t="s">
        <v>50</v>
      </c>
      <c r="V2" s="379"/>
      <c r="W2" s="379"/>
      <c r="X2" s="379"/>
      <c r="Y2" s="379"/>
      <c r="Z2" s="379" t="s">
        <v>50</v>
      </c>
      <c r="AA2" s="379"/>
      <c r="AB2" s="379"/>
      <c r="AC2" s="379"/>
      <c r="AD2" s="379"/>
      <c r="AE2" s="379" t="s">
        <v>50</v>
      </c>
      <c r="AF2" s="379"/>
      <c r="AG2" s="379"/>
      <c r="AH2" s="379"/>
      <c r="AI2" s="379"/>
      <c r="AJ2" s="379" t="s">
        <v>62</v>
      </c>
      <c r="AK2" s="379"/>
      <c r="AL2" s="379"/>
      <c r="AM2" s="379"/>
      <c r="AN2" s="379" t="s">
        <v>62</v>
      </c>
      <c r="AO2" s="379"/>
      <c r="AP2" s="379"/>
      <c r="AQ2" s="379"/>
      <c r="AR2" s="379"/>
      <c r="AS2" s="379" t="s">
        <v>62</v>
      </c>
      <c r="AT2" s="379"/>
      <c r="AU2" s="379"/>
      <c r="AV2" s="379"/>
      <c r="AW2" s="379"/>
      <c r="AX2" s="379" t="s">
        <v>62</v>
      </c>
      <c r="AY2" s="379"/>
      <c r="AZ2" s="379"/>
      <c r="BA2" s="379"/>
      <c r="BB2" s="379"/>
      <c r="BC2" s="379" t="s">
        <v>62</v>
      </c>
      <c r="BD2" s="379"/>
      <c r="BE2" s="379"/>
      <c r="BF2" s="379"/>
      <c r="BG2" s="379"/>
      <c r="CB2" s="379" t="s">
        <v>62</v>
      </c>
      <c r="CC2" s="379"/>
      <c r="CD2" s="379"/>
      <c r="CE2" s="379"/>
      <c r="CF2" s="379"/>
    </row>
    <row r="3" spans="1:84" x14ac:dyDescent="0.25">
      <c r="J3" s="379"/>
      <c r="K3" s="379"/>
      <c r="L3" s="379" t="s">
        <v>57</v>
      </c>
      <c r="M3" s="379"/>
      <c r="N3" s="379"/>
      <c r="O3" s="379"/>
      <c r="P3" s="379" t="s">
        <v>48</v>
      </c>
      <c r="Q3" s="379"/>
      <c r="R3" s="379"/>
      <c r="S3" s="379"/>
      <c r="T3" s="379"/>
      <c r="U3" s="379" t="s">
        <v>47</v>
      </c>
      <c r="V3" s="379"/>
      <c r="W3" s="379"/>
      <c r="X3" s="379"/>
      <c r="Y3" s="379"/>
      <c r="Z3" s="379" t="s">
        <v>46</v>
      </c>
      <c r="AA3" s="379"/>
      <c r="AB3" s="379"/>
      <c r="AC3" s="379"/>
      <c r="AD3" s="379"/>
      <c r="AE3" s="380" t="s">
        <v>60</v>
      </c>
      <c r="AF3" s="380"/>
      <c r="AG3" s="380"/>
      <c r="AH3" s="380"/>
      <c r="AI3" s="380"/>
      <c r="AJ3" s="379" t="s">
        <v>57</v>
      </c>
      <c r="AK3" s="379"/>
      <c r="AL3" s="379"/>
      <c r="AM3" s="379"/>
      <c r="AN3" s="379" t="s">
        <v>48</v>
      </c>
      <c r="AO3" s="379"/>
      <c r="AP3" s="379"/>
      <c r="AQ3" s="379"/>
      <c r="AR3" s="379"/>
      <c r="AS3" s="379" t="s">
        <v>47</v>
      </c>
      <c r="AT3" s="379"/>
      <c r="AU3" s="379"/>
      <c r="AV3" s="379"/>
      <c r="AW3" s="379"/>
      <c r="AX3" s="379" t="s">
        <v>46</v>
      </c>
      <c r="AY3" s="379"/>
      <c r="AZ3" s="379"/>
      <c r="BA3" s="379"/>
      <c r="BB3" s="379"/>
      <c r="BC3" s="379" t="s">
        <v>60</v>
      </c>
      <c r="BD3" s="379"/>
      <c r="BE3" s="379"/>
      <c r="BF3" s="379"/>
      <c r="BG3" s="379"/>
      <c r="BH3" s="380" t="s">
        <v>73</v>
      </c>
      <c r="BI3" s="380"/>
      <c r="BJ3" s="380"/>
      <c r="BK3" s="380"/>
      <c r="BL3" s="380"/>
      <c r="BM3" s="380" t="s">
        <v>84</v>
      </c>
      <c r="BN3" s="380"/>
      <c r="BO3" s="380"/>
      <c r="BP3" s="380"/>
      <c r="BQ3" s="380"/>
      <c r="BR3" s="379" t="s">
        <v>85</v>
      </c>
      <c r="BS3" s="379"/>
      <c r="BT3" s="379"/>
      <c r="BU3" s="379"/>
      <c r="BV3" s="379"/>
      <c r="BW3" s="379" t="s">
        <v>96</v>
      </c>
      <c r="BX3" s="379"/>
      <c r="BY3" s="379"/>
      <c r="BZ3" s="379"/>
      <c r="CA3" s="379"/>
      <c r="CB3" s="379" t="s">
        <v>225</v>
      </c>
      <c r="CC3" s="379"/>
      <c r="CD3" s="379"/>
      <c r="CE3" s="379"/>
      <c r="CF3" s="379"/>
    </row>
    <row r="4" spans="1:84" s="146" customFormat="1" ht="16.5" thickBot="1" x14ac:dyDescent="0.3">
      <c r="A4" s="146" t="s">
        <v>123</v>
      </c>
      <c r="B4" s="146" t="s">
        <v>22</v>
      </c>
      <c r="C4" s="146" t="s">
        <v>44</v>
      </c>
      <c r="D4" s="146" t="s">
        <v>45</v>
      </c>
      <c r="E4" s="146" t="s">
        <v>23</v>
      </c>
      <c r="F4" s="146" t="s">
        <v>24</v>
      </c>
      <c r="G4" s="146" t="s">
        <v>124</v>
      </c>
      <c r="H4" s="146" t="s">
        <v>125</v>
      </c>
      <c r="I4" s="146" t="s">
        <v>25</v>
      </c>
      <c r="J4" s="146" t="s">
        <v>29</v>
      </c>
      <c r="K4" s="146" t="s">
        <v>30</v>
      </c>
      <c r="L4" s="146" t="s">
        <v>26</v>
      </c>
      <c r="M4" s="146" t="s">
        <v>27</v>
      </c>
      <c r="N4" s="146" t="s">
        <v>28</v>
      </c>
      <c r="O4" s="146" t="s">
        <v>52</v>
      </c>
      <c r="P4" s="146" t="s">
        <v>31</v>
      </c>
      <c r="Q4" s="146" t="s">
        <v>32</v>
      </c>
      <c r="R4" s="146" t="s">
        <v>33</v>
      </c>
      <c r="S4" s="146" t="s">
        <v>34</v>
      </c>
      <c r="T4" s="146" t="s">
        <v>35</v>
      </c>
      <c r="U4" s="146" t="s">
        <v>20</v>
      </c>
      <c r="V4" s="146" t="s">
        <v>6</v>
      </c>
      <c r="W4" s="146" t="s">
        <v>7</v>
      </c>
      <c r="X4" s="146" t="s">
        <v>36</v>
      </c>
      <c r="Y4" s="146" t="s">
        <v>37</v>
      </c>
      <c r="Z4" s="146" t="s">
        <v>19</v>
      </c>
      <c r="AA4" s="146" t="s">
        <v>1</v>
      </c>
      <c r="AB4" s="146" t="s">
        <v>2</v>
      </c>
      <c r="AC4" s="146" t="s">
        <v>39</v>
      </c>
      <c r="AD4" s="146" t="s">
        <v>40</v>
      </c>
      <c r="AE4" s="146" t="s">
        <v>68</v>
      </c>
      <c r="AF4" s="146" t="s">
        <v>69</v>
      </c>
      <c r="AG4" s="146" t="s">
        <v>70</v>
      </c>
      <c r="AH4" s="146" t="s">
        <v>71</v>
      </c>
      <c r="AI4" s="146" t="s">
        <v>72</v>
      </c>
      <c r="AJ4" s="146" t="s">
        <v>61</v>
      </c>
      <c r="AK4" s="146" t="s">
        <v>153</v>
      </c>
      <c r="AL4" s="146" t="s">
        <v>226</v>
      </c>
      <c r="AM4" s="146" t="s">
        <v>154</v>
      </c>
      <c r="AN4" s="146" t="s">
        <v>155</v>
      </c>
      <c r="AO4" s="146" t="s">
        <v>156</v>
      </c>
      <c r="AP4" s="146" t="s">
        <v>157</v>
      </c>
      <c r="AQ4" s="146" t="s">
        <v>158</v>
      </c>
      <c r="AR4" s="146" t="s">
        <v>159</v>
      </c>
      <c r="AS4" s="146" t="s">
        <v>139</v>
      </c>
      <c r="AT4" s="146" t="s">
        <v>38</v>
      </c>
      <c r="AU4" s="146" t="s">
        <v>140</v>
      </c>
      <c r="AV4" s="146" t="s">
        <v>141</v>
      </c>
      <c r="AW4" s="146" t="s">
        <v>142</v>
      </c>
      <c r="AX4" s="146" t="s">
        <v>143</v>
      </c>
      <c r="AY4" s="146" t="s">
        <v>58</v>
      </c>
      <c r="AZ4" s="146" t="s">
        <v>59</v>
      </c>
      <c r="BA4" s="146" t="s">
        <v>144</v>
      </c>
      <c r="BB4" s="146" t="s">
        <v>145</v>
      </c>
      <c r="BC4" s="146" t="s">
        <v>63</v>
      </c>
      <c r="BD4" s="146" t="s">
        <v>64</v>
      </c>
      <c r="BE4" s="146" t="s">
        <v>65</v>
      </c>
      <c r="BF4" s="146" t="s">
        <v>66</v>
      </c>
      <c r="BG4" s="146" t="s">
        <v>67</v>
      </c>
      <c r="BH4" s="146" t="s">
        <v>74</v>
      </c>
      <c r="BI4" s="146" t="s">
        <v>75</v>
      </c>
      <c r="BJ4" s="146" t="s">
        <v>76</v>
      </c>
      <c r="BK4" s="146" t="s">
        <v>77</v>
      </c>
      <c r="BL4" s="146" t="s">
        <v>78</v>
      </c>
      <c r="BM4" s="146" t="s">
        <v>79</v>
      </c>
      <c r="BN4" s="146" t="s">
        <v>80</v>
      </c>
      <c r="BO4" s="146" t="s">
        <v>81</v>
      </c>
      <c r="BP4" s="146" t="s">
        <v>82</v>
      </c>
      <c r="BQ4" s="146" t="s">
        <v>83</v>
      </c>
      <c r="BR4" s="146" t="s">
        <v>86</v>
      </c>
      <c r="BS4" s="146" t="s">
        <v>87</v>
      </c>
      <c r="BT4" s="146" t="s">
        <v>88</v>
      </c>
      <c r="BU4" s="146" t="s">
        <v>89</v>
      </c>
      <c r="BV4" s="146" t="s">
        <v>90</v>
      </c>
      <c r="BW4" s="146" t="s">
        <v>91</v>
      </c>
      <c r="BX4" s="146" t="s">
        <v>92</v>
      </c>
      <c r="BY4" s="146" t="s">
        <v>93</v>
      </c>
      <c r="BZ4" s="146" t="s">
        <v>94</v>
      </c>
      <c r="CA4" s="146" t="s">
        <v>95</v>
      </c>
      <c r="CB4" s="146" t="s">
        <v>63</v>
      </c>
      <c r="CC4" s="146" t="s">
        <v>64</v>
      </c>
      <c r="CD4" s="146" t="s">
        <v>65</v>
      </c>
      <c r="CE4" s="146" t="s">
        <v>66</v>
      </c>
      <c r="CF4" s="146" t="s">
        <v>67</v>
      </c>
    </row>
    <row r="5" spans="1:84" s="254" customFormat="1" x14ac:dyDescent="0.25">
      <c r="A5" s="255" t="s">
        <v>98</v>
      </c>
      <c r="B5" s="233" t="s">
        <v>42</v>
      </c>
      <c r="C5" s="233" t="s">
        <v>43</v>
      </c>
      <c r="D5" s="233" t="s">
        <v>41</v>
      </c>
      <c r="E5" s="234" t="s">
        <v>170</v>
      </c>
      <c r="F5" s="233" t="s">
        <v>244</v>
      </c>
      <c r="G5" s="233" t="s">
        <v>106</v>
      </c>
      <c r="H5" s="233" t="str">
        <f>Master_Table[[#This Row],[LES-Type]]&amp;"-"&amp;Master_Table[[#This Row],[Nominal CCT+CRI]]&amp;Master_Table[[#This Row],[Tech]]</f>
        <v>6mm-2750GDP</v>
      </c>
      <c r="I5" s="233"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BXRV-TR-2750G-06A0-B-23</v>
      </c>
      <c r="J5" s="235">
        <v>150</v>
      </c>
      <c r="K5" s="236">
        <v>200</v>
      </c>
      <c r="L5" s="237">
        <v>530</v>
      </c>
      <c r="M5" s="238">
        <f>Master_Table[[#This Row],[Typical Lumens]]/(Master_Table[[#This Row],[Typical Voltage]]*Master_Table[[#This Row],[Typical Current]]/1000)</f>
        <v>95.495495495495504</v>
      </c>
      <c r="N5" s="239">
        <v>37</v>
      </c>
      <c r="O5" s="236">
        <v>-10.8</v>
      </c>
      <c r="P5" s="240">
        <v>0</v>
      </c>
      <c r="Q5" s="241">
        <v>3.4966431835303684E-7</v>
      </c>
      <c r="R5" s="241">
        <v>-1.5695071931731767E-4</v>
      </c>
      <c r="S5" s="241">
        <v>4.9832085208311359E-2</v>
      </c>
      <c r="T5" s="242">
        <v>31.87646132895145</v>
      </c>
      <c r="U5" s="243">
        <v>0</v>
      </c>
      <c r="V5" s="244">
        <v>1.7909514952295366E-8</v>
      </c>
      <c r="W5" s="241">
        <v>-1.326892436424506E-5</v>
      </c>
      <c r="X5" s="241">
        <v>8.2540412348767796E-3</v>
      </c>
      <c r="Y5" s="245">
        <v>0</v>
      </c>
      <c r="Z5" s="246">
        <v>0</v>
      </c>
      <c r="AA5" s="247">
        <v>2.9099303908388992E-8</v>
      </c>
      <c r="AB5" s="241">
        <v>-1.0740816337702576E-5</v>
      </c>
      <c r="AC5" s="241">
        <v>-1.1313392940234344E-3</v>
      </c>
      <c r="AD5" s="236">
        <v>1.0345418159380813</v>
      </c>
      <c r="AE5" s="246">
        <v>0</v>
      </c>
      <c r="AF5" s="247">
        <v>-1162.7</v>
      </c>
      <c r="AG5" s="247">
        <v>2808</v>
      </c>
      <c r="AH5" s="247">
        <v>-3945.3</v>
      </c>
      <c r="AI5" s="248">
        <v>4997.6000000000004</v>
      </c>
      <c r="AJ5" s="237">
        <v>610</v>
      </c>
      <c r="AK5" s="238">
        <f>Master_Table[[#This Row],[Typical Lumens2]]/(Master_Table[[#This Row],[Typical Voltage2]]*Master_Table[[#This Row],[Typical Current]]/1000)</f>
        <v>109.90990990990991</v>
      </c>
      <c r="AL5" s="239">
        <v>37</v>
      </c>
      <c r="AM5" s="239">
        <v>-10.8</v>
      </c>
      <c r="AN5" s="240">
        <v>0</v>
      </c>
      <c r="AO5" s="241">
        <v>3.4966431835303684E-7</v>
      </c>
      <c r="AP5" s="241">
        <v>-1.5695071931731767E-4</v>
      </c>
      <c r="AQ5" s="241">
        <v>4.9832085208311359E-2</v>
      </c>
      <c r="AR5" s="242">
        <v>31.87646132895145</v>
      </c>
      <c r="AS5" s="244">
        <v>0</v>
      </c>
      <c r="AT5" s="244">
        <v>8.0542022719487425E-9</v>
      </c>
      <c r="AU5" s="241">
        <v>-9.7598400709065074E-6</v>
      </c>
      <c r="AV5" s="241">
        <v>7.9494231261837967E-3</v>
      </c>
      <c r="AW5" s="233">
        <v>0</v>
      </c>
      <c r="AX5" s="246">
        <v>0</v>
      </c>
      <c r="AY5" s="247">
        <v>3.6114472716527861E-8</v>
      </c>
      <c r="AZ5" s="241">
        <v>-1.1205971485953659E-5</v>
      </c>
      <c r="BA5" s="241">
        <v>-1.3176780412169637E-3</v>
      </c>
      <c r="BB5" s="236">
        <v>1.0393813945729493</v>
      </c>
      <c r="BC5" s="246">
        <v>0</v>
      </c>
      <c r="BD5" s="247">
        <v>1162.7</v>
      </c>
      <c r="BE5" s="247">
        <v>-680</v>
      </c>
      <c r="BF5" s="247">
        <v>1817.3</v>
      </c>
      <c r="BG5" s="248">
        <v>2697.6</v>
      </c>
      <c r="BH5" s="249">
        <v>0</v>
      </c>
      <c r="BI5" s="250">
        <v>8.4701000000000004E-12</v>
      </c>
      <c r="BJ5" s="250">
        <v>-6.9332E-9</v>
      </c>
      <c r="BK5" s="250">
        <v>-7.6911000000000004E-4</v>
      </c>
      <c r="BL5" s="251">
        <v>2.96</v>
      </c>
      <c r="BM5" s="249">
        <v>0</v>
      </c>
      <c r="BN5" s="250">
        <v>-8.4701000000000004E-12</v>
      </c>
      <c r="BO5" s="250">
        <v>6.9351999999999998E-9</v>
      </c>
      <c r="BP5" s="250">
        <v>7.6911000000000004E-4</v>
      </c>
      <c r="BQ5" s="252">
        <v>-1.96</v>
      </c>
      <c r="BR5" s="249">
        <v>0</v>
      </c>
      <c r="BS5" s="253">
        <v>1.348058068842416</v>
      </c>
      <c r="BT5" s="250">
        <v>28.795719250136816</v>
      </c>
      <c r="BU5" s="250">
        <v>119.78938744992296</v>
      </c>
      <c r="BV5" s="252">
        <v>0</v>
      </c>
      <c r="BW5" s="249">
        <v>0</v>
      </c>
      <c r="BX5" s="250">
        <v>5.2272913958254117</v>
      </c>
      <c r="BY5" s="250">
        <v>18.924918954748463</v>
      </c>
      <c r="BZ5" s="250">
        <v>126.05160136775538</v>
      </c>
      <c r="CA5" s="251">
        <v>0</v>
      </c>
      <c r="CB5" s="246">
        <v>0</v>
      </c>
      <c r="CC5" s="247">
        <v>1162.7</v>
      </c>
      <c r="CD5" s="247">
        <v>-680</v>
      </c>
      <c r="CE5" s="247">
        <v>1817.3</v>
      </c>
      <c r="CF5" s="248">
        <v>2697.6</v>
      </c>
    </row>
    <row r="6" spans="1:84" s="257" customFormat="1" x14ac:dyDescent="0.25">
      <c r="A6" s="256" t="s">
        <v>98</v>
      </c>
      <c r="B6" s="257" t="s">
        <v>42</v>
      </c>
      <c r="C6" s="257" t="s">
        <v>43</v>
      </c>
      <c r="D6" s="257" t="s">
        <v>49</v>
      </c>
      <c r="E6" s="258" t="s">
        <v>170</v>
      </c>
      <c r="F6" s="257" t="s">
        <v>244</v>
      </c>
      <c r="G6" s="257" t="s">
        <v>106</v>
      </c>
      <c r="H6" s="257" t="str">
        <f>Master_Table[[#This Row],[LES-Type]]&amp;"-"&amp;Master_Table[[#This Row],[Nominal CCT+CRI]]&amp;Master_Table[[#This Row],[Tech]]</f>
        <v>6mm-2765GDP</v>
      </c>
      <c r="I6" s="25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BXRV-TR-2765G-06A0-B-23</v>
      </c>
      <c r="J6" s="257">
        <v>150</v>
      </c>
      <c r="K6" s="259">
        <v>200</v>
      </c>
      <c r="L6" s="260">
        <v>530</v>
      </c>
      <c r="M6" s="261">
        <f>Master_Table[[#This Row],[Typical Lumens]]/(Master_Table[[#This Row],[Typical Voltage]]*Master_Table[[#This Row],[Typical Current]]/1000)</f>
        <v>95.495495495495504</v>
      </c>
      <c r="N6" s="257">
        <v>37</v>
      </c>
      <c r="O6" s="259">
        <v>-10.8</v>
      </c>
      <c r="P6" s="262">
        <v>0</v>
      </c>
      <c r="Q6" s="263">
        <v>3.4966431835303684E-7</v>
      </c>
      <c r="R6" s="263">
        <v>-1.5695071931731767E-4</v>
      </c>
      <c r="S6" s="263">
        <v>4.9832085208311359E-2</v>
      </c>
      <c r="T6" s="264">
        <v>31.87646132895145</v>
      </c>
      <c r="U6" s="265">
        <v>0</v>
      </c>
      <c r="V6" s="266">
        <v>1.7909514952295366E-8</v>
      </c>
      <c r="W6" s="267">
        <v>-1.326892436424506E-5</v>
      </c>
      <c r="X6" s="267">
        <v>8.2540412348767796E-3</v>
      </c>
      <c r="Y6" s="268">
        <v>0</v>
      </c>
      <c r="Z6" s="269">
        <v>0</v>
      </c>
      <c r="AA6" s="270">
        <v>2.9099303908388992E-8</v>
      </c>
      <c r="AB6" s="271">
        <v>-1.0740816337702576E-5</v>
      </c>
      <c r="AC6" s="271">
        <v>-1.1313392940234344E-3</v>
      </c>
      <c r="AD6" s="272">
        <v>1.0345418159380813</v>
      </c>
      <c r="AE6" s="269">
        <v>0</v>
      </c>
      <c r="AF6" s="270">
        <v>-5439.9</v>
      </c>
      <c r="AG6" s="270">
        <v>11628</v>
      </c>
      <c r="AH6" s="270">
        <v>-9982.9</v>
      </c>
      <c r="AI6" s="273">
        <v>6487.6</v>
      </c>
      <c r="AJ6" s="260">
        <v>615</v>
      </c>
      <c r="AK6" s="261">
        <f>Master_Table[[#This Row],[Typical Lumens2]]/(Master_Table[[#This Row],[Typical Voltage2]]*Master_Table[[#This Row],[Typical Current]]/1000)</f>
        <v>110.81081081081082</v>
      </c>
      <c r="AL6" s="257">
        <v>37</v>
      </c>
      <c r="AM6" s="257">
        <v>-10.8</v>
      </c>
      <c r="AN6" s="262">
        <v>0</v>
      </c>
      <c r="AO6" s="263">
        <v>3.4966431835303684E-7</v>
      </c>
      <c r="AP6" s="263">
        <v>-1.5695071931731767E-4</v>
      </c>
      <c r="AQ6" s="263">
        <v>4.9832085208311359E-2</v>
      </c>
      <c r="AR6" s="264">
        <v>31.87646132895145</v>
      </c>
      <c r="AS6" s="266">
        <v>0</v>
      </c>
      <c r="AT6" s="266">
        <v>8.0542022719487425E-9</v>
      </c>
      <c r="AU6" s="267">
        <v>-9.7598400709065074E-6</v>
      </c>
      <c r="AV6" s="267">
        <v>7.9494231261837967E-3</v>
      </c>
      <c r="AW6" s="267">
        <v>0</v>
      </c>
      <c r="AX6" s="269">
        <v>0</v>
      </c>
      <c r="AY6" s="270">
        <v>3.6114472716527861E-8</v>
      </c>
      <c r="AZ6" s="271">
        <v>-1.1205971485953659E-5</v>
      </c>
      <c r="BA6" s="271">
        <v>-1.3176780412169637E-3</v>
      </c>
      <c r="BB6" s="272">
        <v>1.0393813945729493</v>
      </c>
      <c r="BC6" s="269">
        <v>0</v>
      </c>
      <c r="BD6" s="270">
        <v>5439.9</v>
      </c>
      <c r="BE6" s="270">
        <v>-4691.3999999999996</v>
      </c>
      <c r="BF6" s="270">
        <v>3045.8</v>
      </c>
      <c r="BG6" s="273">
        <v>2693.2</v>
      </c>
      <c r="BH6" s="260">
        <v>0</v>
      </c>
      <c r="BI6" s="263">
        <v>-8.7960505630037875E-12</v>
      </c>
      <c r="BJ6" s="263">
        <v>1.877519843912848E-7</v>
      </c>
      <c r="BK6" s="263">
        <v>-1.3920927047815347E-3</v>
      </c>
      <c r="BL6" s="259">
        <v>3.5325761287865722</v>
      </c>
      <c r="BM6" s="260">
        <v>0</v>
      </c>
      <c r="BN6" s="263">
        <v>9.2087000000000005E-12</v>
      </c>
      <c r="BO6" s="263">
        <v>-1.9656000000000001E-7</v>
      </c>
      <c r="BP6" s="263">
        <v>1.4574E-3</v>
      </c>
      <c r="BQ6" s="264">
        <v>-2.6983000000000001</v>
      </c>
      <c r="BR6" s="260">
        <v>0</v>
      </c>
      <c r="BS6" s="257">
        <v>1.348058068842416</v>
      </c>
      <c r="BT6" s="257">
        <v>28.795719250136816</v>
      </c>
      <c r="BU6" s="257">
        <v>119.78938744992296</v>
      </c>
      <c r="BV6" s="259">
        <v>0</v>
      </c>
      <c r="BW6" s="260">
        <v>0</v>
      </c>
      <c r="BX6" s="257">
        <v>5.2272913958254117</v>
      </c>
      <c r="BY6" s="257">
        <v>18.924918954748463</v>
      </c>
      <c r="BZ6" s="257">
        <v>126.05160136775538</v>
      </c>
      <c r="CA6" s="259">
        <v>0</v>
      </c>
      <c r="CB6" s="269">
        <v>0</v>
      </c>
      <c r="CC6" s="270">
        <v>5439.9</v>
      </c>
      <c r="CD6" s="270">
        <v>-4691.3999999999996</v>
      </c>
      <c r="CE6" s="270">
        <v>3045.8</v>
      </c>
      <c r="CF6" s="273">
        <v>2693.2</v>
      </c>
    </row>
    <row r="7" spans="1:84" s="94" customFormat="1" x14ac:dyDescent="0.25">
      <c r="A7" s="256" t="s">
        <v>98</v>
      </c>
      <c r="B7" s="257" t="s">
        <v>42</v>
      </c>
      <c r="C7" s="257" t="s">
        <v>43</v>
      </c>
      <c r="D7" s="257" t="s">
        <v>56</v>
      </c>
      <c r="E7" s="258" t="s">
        <v>170</v>
      </c>
      <c r="F7" s="257" t="s">
        <v>240</v>
      </c>
      <c r="G7" s="257" t="s">
        <v>106</v>
      </c>
      <c r="H7" s="257" t="str">
        <f>Master_Table[[#This Row],[LES-Type]]&amp;"-"&amp;Master_Table[[#This Row],[Nominal CCT+CRI]]&amp;Master_Table[[#This Row],[Tech]]</f>
        <v>6mm-1840GDP</v>
      </c>
      <c r="I7" s="25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BXRV-TR-1840G-06A0-B-23</v>
      </c>
      <c r="J7" s="257">
        <v>150</v>
      </c>
      <c r="K7" s="259">
        <v>200</v>
      </c>
      <c r="L7" s="260">
        <v>350</v>
      </c>
      <c r="M7" s="102">
        <v>63</v>
      </c>
      <c r="N7" s="257">
        <v>37</v>
      </c>
      <c r="O7" s="259">
        <v>-10.8</v>
      </c>
      <c r="P7" s="262">
        <v>0</v>
      </c>
      <c r="Q7" s="263">
        <v>3.4966431835303684E-7</v>
      </c>
      <c r="R7" s="263">
        <v>-1.5695071931731767E-4</v>
      </c>
      <c r="S7" s="263">
        <v>4.9832085208311359E-2</v>
      </c>
      <c r="T7" s="264">
        <v>31.87646132895145</v>
      </c>
      <c r="U7" s="265">
        <v>0</v>
      </c>
      <c r="V7" s="266">
        <v>1.7909514952295366E-8</v>
      </c>
      <c r="W7" s="267">
        <v>-1.326892436424506E-5</v>
      </c>
      <c r="X7" s="267">
        <v>8.2540412348767796E-3</v>
      </c>
      <c r="Y7" s="268">
        <v>0</v>
      </c>
      <c r="Z7" s="269">
        <v>0</v>
      </c>
      <c r="AA7" s="270">
        <v>2.9099303908388992E-8</v>
      </c>
      <c r="AB7" s="271">
        <v>-1.0740816337702576E-5</v>
      </c>
      <c r="AC7" s="271">
        <v>-1.1313392940234344E-3</v>
      </c>
      <c r="AD7" s="272">
        <v>1.0345418159380813</v>
      </c>
      <c r="AE7" s="269">
        <v>0</v>
      </c>
      <c r="AF7" s="270">
        <v>277.33</v>
      </c>
      <c r="AG7" s="270">
        <v>-962.29</v>
      </c>
      <c r="AH7" s="270">
        <v>-1515</v>
      </c>
      <c r="AI7" s="273">
        <v>4000.9</v>
      </c>
      <c r="AJ7" s="93">
        <v>580</v>
      </c>
      <c r="AK7" s="102">
        <v>105</v>
      </c>
      <c r="AL7" s="257">
        <v>37</v>
      </c>
      <c r="AM7" s="257">
        <v>-10.8</v>
      </c>
      <c r="AN7" s="262">
        <v>0</v>
      </c>
      <c r="AO7" s="263">
        <v>3.4966431835303684E-7</v>
      </c>
      <c r="AP7" s="263">
        <v>-1.5695071931731767E-4</v>
      </c>
      <c r="AQ7" s="263">
        <v>4.9832085208311359E-2</v>
      </c>
      <c r="AR7" s="264">
        <v>31.87646132895145</v>
      </c>
      <c r="AS7" s="266">
        <v>0</v>
      </c>
      <c r="AT7" s="266">
        <v>8.0542022719487425E-9</v>
      </c>
      <c r="AU7" s="267">
        <v>-9.7598400709065074E-6</v>
      </c>
      <c r="AV7" s="267">
        <v>7.9494231261837967E-3</v>
      </c>
      <c r="AW7" s="267">
        <v>0</v>
      </c>
      <c r="AX7" s="269">
        <v>0</v>
      </c>
      <c r="AY7" s="270">
        <v>3.6114472716527861E-8</v>
      </c>
      <c r="AZ7" s="271">
        <v>-1.1205971485953659E-5</v>
      </c>
      <c r="BA7" s="271">
        <v>-1.3176780412169637E-3</v>
      </c>
      <c r="BB7" s="272">
        <v>1.0393813945729493</v>
      </c>
      <c r="BC7" s="269">
        <v>0</v>
      </c>
      <c r="BD7" s="270">
        <v>-2.7199999999999998E-2</v>
      </c>
      <c r="BE7" s="270">
        <v>37.713999999999999</v>
      </c>
      <c r="BF7" s="270">
        <v>2435.3000000000002</v>
      </c>
      <c r="BG7" s="273">
        <v>1837.8</v>
      </c>
      <c r="BH7" s="260">
        <v>0</v>
      </c>
      <c r="BI7" s="263">
        <v>-2.3379143978853158E-11</v>
      </c>
      <c r="BJ7" s="263">
        <v>1.5306565289819192E-7</v>
      </c>
      <c r="BK7" s="263">
        <v>-7.2586924275767472E-4</v>
      </c>
      <c r="BL7" s="259">
        <v>1.9517603165300583</v>
      </c>
      <c r="BM7" s="260">
        <v>0</v>
      </c>
      <c r="BN7" s="263">
        <v>2.3279E-11</v>
      </c>
      <c r="BO7" s="263">
        <v>-1.5241E-7</v>
      </c>
      <c r="BP7" s="263">
        <v>7.2276000000000003E-4</v>
      </c>
      <c r="BQ7" s="264">
        <v>-0.94343999999999995</v>
      </c>
      <c r="BR7" s="260">
        <v>0</v>
      </c>
      <c r="BS7" s="257">
        <v>-0.58322485618268016</v>
      </c>
      <c r="BT7" s="257">
        <v>62.805497276614901</v>
      </c>
      <c r="BU7" s="257">
        <v>436.57001680007335</v>
      </c>
      <c r="BV7" s="259">
        <v>0</v>
      </c>
      <c r="BW7" s="260">
        <v>0</v>
      </c>
      <c r="BX7" s="257">
        <v>5.2272913958254117</v>
      </c>
      <c r="BY7" s="257">
        <v>18.924918954748463</v>
      </c>
      <c r="BZ7" s="257">
        <v>126.05160136775538</v>
      </c>
      <c r="CA7" s="259">
        <v>0</v>
      </c>
      <c r="CB7" s="269">
        <v>0</v>
      </c>
      <c r="CC7" s="270">
        <v>-2.7199999999999998E-2</v>
      </c>
      <c r="CD7" s="270">
        <v>37.713999999999999</v>
      </c>
      <c r="CE7" s="270">
        <v>2435.3000000000002</v>
      </c>
      <c r="CF7" s="273">
        <v>1837.8</v>
      </c>
    </row>
    <row r="8" spans="1:84" s="94" customFormat="1" x14ac:dyDescent="0.25">
      <c r="A8" s="104"/>
      <c r="E8" s="111"/>
      <c r="K8" s="95"/>
      <c r="L8" s="93"/>
      <c r="M8" s="102"/>
      <c r="O8" s="95"/>
      <c r="P8" s="153"/>
      <c r="Q8" s="103"/>
      <c r="R8" s="103"/>
      <c r="S8" s="103"/>
      <c r="T8" s="154"/>
      <c r="U8" s="158"/>
      <c r="V8" s="89"/>
      <c r="W8" s="90"/>
      <c r="X8" s="90"/>
      <c r="Y8" s="159"/>
      <c r="Z8" s="164"/>
      <c r="AA8" s="91"/>
      <c r="AB8" s="92"/>
      <c r="AC8" s="92"/>
      <c r="AD8" s="165"/>
      <c r="AE8" s="164"/>
      <c r="AF8" s="91"/>
      <c r="AG8" s="91"/>
      <c r="AH8" s="91"/>
      <c r="AI8" s="170"/>
      <c r="AJ8" s="93"/>
      <c r="AK8" s="102"/>
      <c r="AN8" s="153"/>
      <c r="AO8" s="103"/>
      <c r="AP8" s="103"/>
      <c r="AQ8" s="103"/>
      <c r="AR8" s="154"/>
      <c r="AS8" s="89"/>
      <c r="AT8" s="89"/>
      <c r="AU8" s="90"/>
      <c r="AV8" s="90"/>
      <c r="AW8" s="90"/>
      <c r="AX8" s="164"/>
      <c r="AY8" s="91"/>
      <c r="AZ8" s="92"/>
      <c r="BA8" s="92"/>
      <c r="BB8" s="165"/>
      <c r="BC8" s="164"/>
      <c r="BD8" s="91"/>
      <c r="BE8" s="91"/>
      <c r="BF8" s="91"/>
      <c r="BG8" s="170"/>
      <c r="BH8" s="93"/>
      <c r="BI8" s="103"/>
      <c r="BJ8" s="103"/>
      <c r="BK8" s="103"/>
      <c r="BL8" s="95"/>
      <c r="BM8" s="93"/>
      <c r="BN8" s="103"/>
      <c r="BO8" s="103"/>
      <c r="BP8" s="103"/>
      <c r="BQ8" s="154"/>
      <c r="BR8" s="93"/>
      <c r="BV8" s="95"/>
      <c r="BW8" s="93"/>
      <c r="CA8" s="95"/>
      <c r="CB8" s="164"/>
      <c r="CC8" s="91"/>
      <c r="CD8" s="91"/>
      <c r="CE8" s="91"/>
      <c r="CF8" s="170"/>
    </row>
    <row r="9" spans="1:84" s="94" customFormat="1" x14ac:dyDescent="0.25">
      <c r="A9" s="104"/>
      <c r="E9" s="111"/>
      <c r="K9" s="95"/>
      <c r="L9" s="93"/>
      <c r="M9" s="102"/>
      <c r="O9" s="95"/>
      <c r="P9" s="153"/>
      <c r="Q9" s="103"/>
      <c r="R9" s="103"/>
      <c r="S9" s="103"/>
      <c r="T9" s="154"/>
      <c r="U9" s="158"/>
      <c r="V9" s="89"/>
      <c r="W9" s="90"/>
      <c r="X9" s="90"/>
      <c r="Y9" s="159"/>
      <c r="Z9" s="164"/>
      <c r="AA9" s="91"/>
      <c r="AB9" s="92"/>
      <c r="AC9" s="92"/>
      <c r="AD9" s="165"/>
      <c r="AE9" s="164"/>
      <c r="AF9" s="91"/>
      <c r="AG9" s="91"/>
      <c r="AH9" s="91"/>
      <c r="AI9" s="170"/>
      <c r="AJ9" s="93"/>
      <c r="AK9" s="102"/>
      <c r="AN9" s="153"/>
      <c r="AO9" s="103"/>
      <c r="AP9" s="103"/>
      <c r="AQ9" s="103"/>
      <c r="AR9" s="154"/>
      <c r="AS9" s="89"/>
      <c r="AT9" s="89"/>
      <c r="AU9" s="90"/>
      <c r="AV9" s="90"/>
      <c r="AW9" s="90"/>
      <c r="AX9" s="164"/>
      <c r="AY9" s="91"/>
      <c r="AZ9" s="92"/>
      <c r="BA9" s="92"/>
      <c r="BB9" s="165"/>
      <c r="BC9" s="164"/>
      <c r="BD9" s="91"/>
      <c r="BE9" s="91"/>
      <c r="BF9" s="91"/>
      <c r="BG9" s="170"/>
      <c r="BH9" s="93"/>
      <c r="BI9" s="103"/>
      <c r="BJ9" s="103"/>
      <c r="BK9" s="103"/>
      <c r="BL9" s="95"/>
      <c r="BM9" s="93"/>
      <c r="BN9" s="103"/>
      <c r="BO9" s="103"/>
      <c r="BP9" s="103"/>
      <c r="BQ9" s="154"/>
      <c r="BR9" s="93"/>
      <c r="BV9" s="95"/>
      <c r="BW9" s="93"/>
      <c r="CA9" s="95"/>
      <c r="CB9" s="164"/>
      <c r="CC9" s="91"/>
      <c r="CD9" s="91"/>
      <c r="CE9" s="91"/>
      <c r="CF9" s="170"/>
    </row>
    <row r="10" spans="1:84" s="94" customFormat="1" ht="16.5" thickBot="1" x14ac:dyDescent="0.3">
      <c r="A10" s="144"/>
      <c r="B10" s="97"/>
      <c r="C10" s="97"/>
      <c r="D10" s="97"/>
      <c r="E10" s="152"/>
      <c r="F10" s="97"/>
      <c r="G10" s="97"/>
      <c r="H10" s="97"/>
      <c r="I10" s="97"/>
      <c r="J10" s="97"/>
      <c r="K10" s="98"/>
      <c r="L10" s="96"/>
      <c r="M10" s="151"/>
      <c r="N10" s="97"/>
      <c r="O10" s="98"/>
      <c r="P10" s="153"/>
      <c r="Q10" s="103"/>
      <c r="R10" s="103"/>
      <c r="S10" s="103"/>
      <c r="T10" s="154"/>
      <c r="U10" s="160"/>
      <c r="V10" s="161"/>
      <c r="W10" s="162"/>
      <c r="X10" s="162"/>
      <c r="Y10" s="163"/>
      <c r="Z10" s="166"/>
      <c r="AA10" s="167"/>
      <c r="AB10" s="168"/>
      <c r="AC10" s="168"/>
      <c r="AD10" s="169"/>
      <c r="AE10" s="166"/>
      <c r="AF10" s="167"/>
      <c r="AG10" s="167"/>
      <c r="AH10" s="167"/>
      <c r="AI10" s="171"/>
      <c r="AJ10" s="96"/>
      <c r="AK10" s="151"/>
      <c r="AL10" s="97"/>
      <c r="AM10" s="97"/>
      <c r="AN10" s="155"/>
      <c r="AO10" s="156"/>
      <c r="AP10" s="156"/>
      <c r="AQ10" s="156"/>
      <c r="AR10" s="157"/>
      <c r="AS10" s="161"/>
      <c r="AT10" s="161"/>
      <c r="AU10" s="162"/>
      <c r="AV10" s="162"/>
      <c r="AW10" s="162"/>
      <c r="AX10" s="166"/>
      <c r="AY10" s="167"/>
      <c r="AZ10" s="168"/>
      <c r="BA10" s="168"/>
      <c r="BB10" s="169"/>
      <c r="BC10" s="164"/>
      <c r="BD10" s="91"/>
      <c r="BE10" s="91"/>
      <c r="BF10" s="91"/>
      <c r="BG10" s="170"/>
      <c r="BH10" s="93"/>
      <c r="BI10" s="103"/>
      <c r="BJ10" s="103"/>
      <c r="BK10" s="103"/>
      <c r="BL10" s="95"/>
      <c r="BM10" s="93"/>
      <c r="BN10" s="103"/>
      <c r="BO10" s="103"/>
      <c r="BP10" s="103"/>
      <c r="BQ10" s="154"/>
      <c r="BR10" s="96"/>
      <c r="BS10" s="97"/>
      <c r="BT10" s="97"/>
      <c r="BU10" s="97"/>
      <c r="BV10" s="98"/>
      <c r="BW10" s="96"/>
      <c r="BX10" s="97"/>
      <c r="BY10" s="97"/>
      <c r="BZ10" s="97"/>
      <c r="CA10" s="98"/>
      <c r="CB10" s="164"/>
      <c r="CC10" s="91"/>
      <c r="CD10" s="91"/>
      <c r="CE10" s="91"/>
      <c r="CF10" s="170"/>
    </row>
    <row r="11" spans="1:84" s="257" customFormat="1" x14ac:dyDescent="0.25">
      <c r="A11" s="255" t="s">
        <v>100</v>
      </c>
      <c r="B11" s="253" t="s">
        <v>42</v>
      </c>
      <c r="C11" s="253" t="s">
        <v>43</v>
      </c>
      <c r="D11" s="233" t="s">
        <v>41</v>
      </c>
      <c r="E11" s="253" t="s">
        <v>172</v>
      </c>
      <c r="F11" s="253" t="s">
        <v>18</v>
      </c>
      <c r="G11" s="253" t="s">
        <v>177</v>
      </c>
      <c r="H11" s="274" t="str">
        <f>Master_Table[[#This Row],[LES-Type]]&amp;"-"&amp;Master_Table[[#This Row],[Nominal CCT+CRI]]&amp;Master_Table[[#This Row],[Tech]]</f>
        <v>9mm-2750GDP-A</v>
      </c>
      <c r="I11" s="27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BXRV-TR-2750G-10A0-A-23</v>
      </c>
      <c r="J11" s="253">
        <v>500</v>
      </c>
      <c r="K11" s="251">
        <v>700</v>
      </c>
      <c r="L11" s="249">
        <v>950</v>
      </c>
      <c r="M11" s="275">
        <f>Master_Table[[#This Row],[Typical Lumens]]/(Master_Table[[#This Row],[Typical Voltage]]*Master_Table[[#This Row],[Typical Current]]/1000)</f>
        <v>107.95454545454544</v>
      </c>
      <c r="N11" s="253">
        <v>17.600000000000001</v>
      </c>
      <c r="O11" s="253">
        <v>-5.9</v>
      </c>
      <c r="P11" s="276">
        <v>0</v>
      </c>
      <c r="Q11" s="250">
        <v>3.2593806367612429E-9</v>
      </c>
      <c r="R11" s="250">
        <v>-5.358284875250346E-6</v>
      </c>
      <c r="S11" s="250">
        <v>5.7013143736789826E-3</v>
      </c>
      <c r="T11" s="252">
        <v>15.681491452377943</v>
      </c>
      <c r="U11" s="244">
        <v>0</v>
      </c>
      <c r="V11" s="244">
        <v>2.1690977096069365E-10</v>
      </c>
      <c r="W11" s="241">
        <v>-6.727900721730406E-7</v>
      </c>
      <c r="X11" s="241">
        <v>2.2821675933463472E-3</v>
      </c>
      <c r="Y11" s="245">
        <v>0</v>
      </c>
      <c r="Z11" s="246">
        <v>0</v>
      </c>
      <c r="AA11" s="247">
        <v>1.6806700609483166E-8</v>
      </c>
      <c r="AB11" s="241">
        <v>-7.93129181013492E-6</v>
      </c>
      <c r="AC11" s="241">
        <v>-1.5397616133092889E-3</v>
      </c>
      <c r="AD11" s="236">
        <v>1.0431884930170432</v>
      </c>
      <c r="AE11" s="246">
        <v>0</v>
      </c>
      <c r="AF11" s="247">
        <v>-1162.7</v>
      </c>
      <c r="AG11" s="247">
        <v>2808</v>
      </c>
      <c r="AH11" s="247">
        <v>-3945.3</v>
      </c>
      <c r="AI11" s="248">
        <v>4997.6000000000004</v>
      </c>
      <c r="AJ11" s="249">
        <v>1100</v>
      </c>
      <c r="AK11" s="275">
        <f>Master_Table[[#This Row],[Typical Lumens2]]/(Master_Table[[#This Row],[Typical Voltage2]]*Master_Table[[#This Row],[Typical Current]]/1000)</f>
        <v>120.87912087912089</v>
      </c>
      <c r="AL11" s="253">
        <v>18.2</v>
      </c>
      <c r="AM11" s="251">
        <v>-5.9</v>
      </c>
      <c r="AN11" s="276">
        <v>0</v>
      </c>
      <c r="AO11" s="250">
        <v>3.3704958857417395E-9</v>
      </c>
      <c r="AP11" s="250">
        <v>-5.5409536778156982E-6</v>
      </c>
      <c r="AQ11" s="250">
        <v>5.8956773636907661E-3</v>
      </c>
      <c r="AR11" s="252">
        <v>16.216087751890825</v>
      </c>
      <c r="AS11" s="266">
        <v>0</v>
      </c>
      <c r="AT11" s="266">
        <v>2.3683998976869951E-10</v>
      </c>
      <c r="AU11" s="277">
        <v>-7.2270008891487307E-7</v>
      </c>
      <c r="AV11" s="277">
        <v>2.3021400470152613E-3</v>
      </c>
      <c r="AW11" s="267">
        <v>0</v>
      </c>
      <c r="AX11" s="269">
        <v>0</v>
      </c>
      <c r="AY11" s="270">
        <v>2.3090844101982709E-8</v>
      </c>
      <c r="AZ11" s="277">
        <v>-7.4552957393842314E-6</v>
      </c>
      <c r="BA11" s="277">
        <v>-2.0106740455534161E-3</v>
      </c>
      <c r="BB11" s="272">
        <v>1.0545656165368571</v>
      </c>
      <c r="BC11" s="246">
        <v>0</v>
      </c>
      <c r="BD11" s="247">
        <v>1162.7</v>
      </c>
      <c r="BE11" s="247">
        <v>-680</v>
      </c>
      <c r="BF11" s="247">
        <v>1817.3</v>
      </c>
      <c r="BG11" s="248">
        <v>2697.6</v>
      </c>
      <c r="BH11" s="249">
        <v>0</v>
      </c>
      <c r="BI11" s="250">
        <v>8.4701000000000004E-12</v>
      </c>
      <c r="BJ11" s="250">
        <v>-6.9332E-9</v>
      </c>
      <c r="BK11" s="250">
        <v>-7.6911000000000004E-4</v>
      </c>
      <c r="BL11" s="251">
        <v>2.96</v>
      </c>
      <c r="BM11" s="249">
        <v>0</v>
      </c>
      <c r="BN11" s="250">
        <v>-8.4701000000000004E-12</v>
      </c>
      <c r="BO11" s="250">
        <v>6.9351999999999998E-9</v>
      </c>
      <c r="BP11" s="250">
        <v>7.6911000000000004E-4</v>
      </c>
      <c r="BQ11" s="252">
        <v>-1.96</v>
      </c>
      <c r="BR11" s="249">
        <v>0</v>
      </c>
      <c r="BS11" s="250">
        <v>-0.58322485618268016</v>
      </c>
      <c r="BT11" s="250">
        <v>62.805497276614901</v>
      </c>
      <c r="BU11" s="250">
        <v>436.57001680007335</v>
      </c>
      <c r="BV11" s="251">
        <v>0</v>
      </c>
      <c r="BW11" s="249">
        <v>0</v>
      </c>
      <c r="BX11" s="250">
        <v>0.430948236742003</v>
      </c>
      <c r="BY11" s="250">
        <v>65.687167424128475</v>
      </c>
      <c r="BZ11" s="250">
        <v>433.35605621617094</v>
      </c>
      <c r="CA11" s="251">
        <v>0</v>
      </c>
      <c r="CB11" s="246">
        <v>0</v>
      </c>
      <c r="CC11" s="247">
        <v>1162.7</v>
      </c>
      <c r="CD11" s="247">
        <v>-680</v>
      </c>
      <c r="CE11" s="247">
        <v>1817.3</v>
      </c>
      <c r="CF11" s="248">
        <v>2697.6</v>
      </c>
    </row>
    <row r="12" spans="1:84" s="257" customFormat="1" x14ac:dyDescent="0.25">
      <c r="A12" s="256" t="s">
        <v>100</v>
      </c>
      <c r="B12" s="257" t="s">
        <v>42</v>
      </c>
      <c r="C12" s="257" t="s">
        <v>43</v>
      </c>
      <c r="D12" s="257" t="s">
        <v>49</v>
      </c>
      <c r="E12" s="257" t="s">
        <v>172</v>
      </c>
      <c r="F12" s="257" t="s">
        <v>18</v>
      </c>
      <c r="G12" s="257" t="s">
        <v>177</v>
      </c>
      <c r="H12" s="278" t="str">
        <f>Master_Table[[#This Row],[LES-Type]]&amp;"-"&amp;Master_Table[[#This Row],[Nominal CCT+CRI]]&amp;Master_Table[[#This Row],[Tech]]</f>
        <v>9mm-2765GDP-A</v>
      </c>
      <c r="I12"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BXRV-TR-2765G-10A0-A-23</v>
      </c>
      <c r="J12" s="257">
        <v>500</v>
      </c>
      <c r="K12" s="259">
        <v>700</v>
      </c>
      <c r="L12" s="260">
        <v>950</v>
      </c>
      <c r="M12" s="261">
        <f>Master_Table[[#This Row],[Typical Lumens]]/(Master_Table[[#This Row],[Typical Voltage]]*Master_Table[[#This Row],[Typical Current]]/1000)</f>
        <v>107.95454545454544</v>
      </c>
      <c r="N12" s="257">
        <v>17.600000000000001</v>
      </c>
      <c r="O12" s="257">
        <v>-5.9</v>
      </c>
      <c r="P12" s="262">
        <v>0</v>
      </c>
      <c r="Q12" s="263">
        <v>3.2593806367612429E-9</v>
      </c>
      <c r="R12" s="263">
        <v>-5.358284875250346E-6</v>
      </c>
      <c r="S12" s="263">
        <v>5.7013143736789826E-3</v>
      </c>
      <c r="T12" s="264">
        <v>15.681491452377943</v>
      </c>
      <c r="U12" s="266">
        <v>0</v>
      </c>
      <c r="V12" s="266">
        <v>2.1690977096069365E-10</v>
      </c>
      <c r="W12" s="267">
        <v>-6.727900721730406E-7</v>
      </c>
      <c r="X12" s="267">
        <v>2.2821675933463472E-3</v>
      </c>
      <c r="Y12" s="268">
        <v>0</v>
      </c>
      <c r="Z12" s="269">
        <v>0</v>
      </c>
      <c r="AA12" s="270">
        <v>1.6806700609483166E-8</v>
      </c>
      <c r="AB12" s="271">
        <v>-7.93129181013492E-6</v>
      </c>
      <c r="AC12" s="271">
        <v>-1.5397616133092889E-3</v>
      </c>
      <c r="AD12" s="272">
        <v>1.0431884930170432</v>
      </c>
      <c r="AE12" s="269">
        <v>0</v>
      </c>
      <c r="AF12" s="270">
        <v>-5439.9</v>
      </c>
      <c r="AG12" s="270">
        <v>11628</v>
      </c>
      <c r="AH12" s="270">
        <v>-9982.9</v>
      </c>
      <c r="AI12" s="273">
        <v>6487.6</v>
      </c>
      <c r="AJ12" s="260">
        <v>1110</v>
      </c>
      <c r="AK12" s="261">
        <f>Master_Table[[#This Row],[Typical Lumens2]]/(Master_Table[[#This Row],[Typical Voltage2]]*Master_Table[[#This Row],[Typical Current]]/1000)</f>
        <v>121.97802197802199</v>
      </c>
      <c r="AL12" s="257">
        <v>18.2</v>
      </c>
      <c r="AM12" s="259">
        <v>-5.9</v>
      </c>
      <c r="AN12" s="262">
        <v>0</v>
      </c>
      <c r="AO12" s="263">
        <v>3.3704958857417395E-9</v>
      </c>
      <c r="AP12" s="263">
        <v>-5.5409536778156982E-6</v>
      </c>
      <c r="AQ12" s="263">
        <v>5.8956773636907661E-3</v>
      </c>
      <c r="AR12" s="264">
        <v>16.216087751890825</v>
      </c>
      <c r="AS12" s="266">
        <v>0</v>
      </c>
      <c r="AT12" s="266">
        <v>2.3683998976869951E-10</v>
      </c>
      <c r="AU12" s="267">
        <v>-7.2270008891487307E-7</v>
      </c>
      <c r="AV12" s="267">
        <v>2.3021400470152613E-3</v>
      </c>
      <c r="AW12" s="267">
        <v>0</v>
      </c>
      <c r="AX12" s="269">
        <v>0</v>
      </c>
      <c r="AY12" s="270">
        <v>2.3090844101982709E-8</v>
      </c>
      <c r="AZ12" s="277">
        <v>-7.4552957393842314E-6</v>
      </c>
      <c r="BA12" s="277">
        <v>-2.0106740455534161E-3</v>
      </c>
      <c r="BB12" s="272">
        <v>1.0545656165368571</v>
      </c>
      <c r="BC12" s="269">
        <v>0</v>
      </c>
      <c r="BD12" s="270">
        <v>5439.9</v>
      </c>
      <c r="BE12" s="270">
        <v>-4691.3999999999996</v>
      </c>
      <c r="BF12" s="270">
        <v>3045.8</v>
      </c>
      <c r="BG12" s="273">
        <v>2693.2</v>
      </c>
      <c r="BH12" s="260">
        <v>0</v>
      </c>
      <c r="BI12" s="263">
        <v>-8.7960505630037875E-12</v>
      </c>
      <c r="BJ12" s="263">
        <v>1.877519843912848E-7</v>
      </c>
      <c r="BK12" s="263">
        <v>-1.3920927047815347E-3</v>
      </c>
      <c r="BL12" s="259">
        <v>3.5325761287865722</v>
      </c>
      <c r="BM12" s="260">
        <v>0</v>
      </c>
      <c r="BN12" s="263">
        <v>9.2087000000000005E-12</v>
      </c>
      <c r="BO12" s="263">
        <v>-1.9656000000000001E-7</v>
      </c>
      <c r="BP12" s="263">
        <v>1.4574E-3</v>
      </c>
      <c r="BQ12" s="264">
        <v>-2.6983000000000001</v>
      </c>
      <c r="BR12" s="260">
        <v>0</v>
      </c>
      <c r="BS12" s="257">
        <v>-0.58322485618268016</v>
      </c>
      <c r="BT12" s="257">
        <v>62.805497276614901</v>
      </c>
      <c r="BU12" s="257">
        <v>436.57001680007335</v>
      </c>
      <c r="BV12" s="259">
        <v>0</v>
      </c>
      <c r="BW12" s="260">
        <v>0</v>
      </c>
      <c r="BX12" s="257">
        <v>0.430948236742003</v>
      </c>
      <c r="BY12" s="257">
        <v>65.687167424128475</v>
      </c>
      <c r="BZ12" s="257">
        <v>433.35605621617094</v>
      </c>
      <c r="CA12" s="259">
        <v>0</v>
      </c>
      <c r="CB12" s="269">
        <v>0</v>
      </c>
      <c r="CC12" s="270">
        <v>5439.9</v>
      </c>
      <c r="CD12" s="270">
        <v>-4691.3999999999996</v>
      </c>
      <c r="CE12" s="270">
        <v>3045.8</v>
      </c>
      <c r="CF12" s="273">
        <v>2693.2</v>
      </c>
    </row>
    <row r="13" spans="1:84" s="94" customFormat="1" x14ac:dyDescent="0.25">
      <c r="A13" s="104"/>
      <c r="H13" s="147"/>
      <c r="I13" s="147"/>
      <c r="K13" s="95"/>
      <c r="L13" s="93"/>
      <c r="M13" s="102"/>
      <c r="P13" s="153"/>
      <c r="Q13" s="103"/>
      <c r="R13" s="103"/>
      <c r="S13" s="103"/>
      <c r="T13" s="154"/>
      <c r="U13" s="89"/>
      <c r="V13" s="89"/>
      <c r="W13" s="90"/>
      <c r="X13" s="90"/>
      <c r="Y13" s="159"/>
      <c r="Z13" s="164"/>
      <c r="AA13" s="91"/>
      <c r="AB13" s="92"/>
      <c r="AC13" s="92"/>
      <c r="AD13" s="165"/>
      <c r="AE13" s="164"/>
      <c r="AF13" s="91"/>
      <c r="AG13" s="91"/>
      <c r="AH13" s="91"/>
      <c r="AI13" s="170"/>
      <c r="AJ13" s="93"/>
      <c r="AK13" s="102"/>
      <c r="AM13" s="95"/>
      <c r="AN13" s="153"/>
      <c r="AO13" s="103"/>
      <c r="AP13" s="103"/>
      <c r="AQ13" s="103"/>
      <c r="AR13" s="154"/>
      <c r="AS13" s="89"/>
      <c r="AT13" s="89"/>
      <c r="AU13" s="90"/>
      <c r="AV13" s="90"/>
      <c r="AW13" s="90"/>
      <c r="AX13" s="164"/>
      <c r="AY13" s="91"/>
      <c r="AZ13" s="149"/>
      <c r="BA13" s="149"/>
      <c r="BB13" s="165"/>
      <c r="BC13" s="164"/>
      <c r="BD13" s="91"/>
      <c r="BE13" s="91"/>
      <c r="BF13" s="91"/>
      <c r="BG13" s="170"/>
      <c r="BH13" s="93"/>
      <c r="BI13" s="103"/>
      <c r="BJ13" s="103"/>
      <c r="BK13" s="103"/>
      <c r="BL13" s="95"/>
      <c r="BM13" s="93"/>
      <c r="BN13" s="103"/>
      <c r="BO13" s="103"/>
      <c r="BP13" s="103"/>
      <c r="BQ13" s="154"/>
      <c r="BR13" s="93"/>
      <c r="BV13" s="95"/>
      <c r="BW13" s="93"/>
      <c r="CA13" s="95"/>
      <c r="CB13" s="164"/>
      <c r="CC13" s="91"/>
      <c r="CD13" s="91"/>
      <c r="CE13" s="91"/>
      <c r="CF13" s="170"/>
    </row>
    <row r="14" spans="1:84" s="94" customFormat="1" x14ac:dyDescent="0.25">
      <c r="A14" s="104"/>
      <c r="H14" s="147"/>
      <c r="I14" s="147"/>
      <c r="K14" s="95"/>
      <c r="L14" s="93"/>
      <c r="M14" s="102"/>
      <c r="P14" s="153"/>
      <c r="Q14" s="103"/>
      <c r="R14" s="103"/>
      <c r="S14" s="103"/>
      <c r="T14" s="154"/>
      <c r="U14" s="89"/>
      <c r="V14" s="89"/>
      <c r="W14" s="90"/>
      <c r="X14" s="90"/>
      <c r="Y14" s="159"/>
      <c r="Z14" s="164"/>
      <c r="AA14" s="91"/>
      <c r="AB14" s="92"/>
      <c r="AC14" s="92"/>
      <c r="AD14" s="165"/>
      <c r="AE14" s="164"/>
      <c r="AF14" s="91"/>
      <c r="AG14" s="91"/>
      <c r="AH14" s="91"/>
      <c r="AI14" s="170"/>
      <c r="AJ14" s="93"/>
      <c r="AK14" s="102"/>
      <c r="AM14" s="95"/>
      <c r="AN14" s="153"/>
      <c r="AO14" s="103"/>
      <c r="AP14" s="103"/>
      <c r="AQ14" s="103"/>
      <c r="AR14" s="154"/>
      <c r="AS14" s="89"/>
      <c r="AT14" s="89"/>
      <c r="AU14" s="90"/>
      <c r="AV14" s="90"/>
      <c r="AW14" s="90"/>
      <c r="AX14" s="164"/>
      <c r="AY14" s="91"/>
      <c r="AZ14" s="149"/>
      <c r="BA14" s="149"/>
      <c r="BB14" s="165"/>
      <c r="BC14" s="164"/>
      <c r="BD14" s="91"/>
      <c r="BE14" s="91"/>
      <c r="BF14" s="91"/>
      <c r="BG14" s="170"/>
      <c r="BH14" s="93"/>
      <c r="BI14" s="103"/>
      <c r="BJ14" s="103"/>
      <c r="BK14" s="103"/>
      <c r="BL14" s="95"/>
      <c r="BM14" s="93"/>
      <c r="BN14" s="103"/>
      <c r="BO14" s="103"/>
      <c r="BP14" s="103"/>
      <c r="BQ14" s="154"/>
      <c r="BR14" s="93"/>
      <c r="BV14" s="95"/>
      <c r="BW14" s="93"/>
      <c r="CA14" s="95"/>
      <c r="CB14" s="164"/>
      <c r="CC14" s="91"/>
      <c r="CD14" s="91"/>
      <c r="CE14" s="91"/>
      <c r="CF14" s="170"/>
    </row>
    <row r="15" spans="1:84" s="94" customFormat="1" x14ac:dyDescent="0.25">
      <c r="A15" s="104"/>
      <c r="H15" s="147"/>
      <c r="I15" s="147"/>
      <c r="K15" s="95"/>
      <c r="L15" s="93"/>
      <c r="M15" s="102"/>
      <c r="P15" s="153"/>
      <c r="Q15" s="103"/>
      <c r="R15" s="103"/>
      <c r="S15" s="103"/>
      <c r="T15" s="154"/>
      <c r="U15" s="89"/>
      <c r="V15" s="89"/>
      <c r="W15" s="90"/>
      <c r="X15" s="90"/>
      <c r="Y15" s="159"/>
      <c r="Z15" s="164"/>
      <c r="AA15" s="91"/>
      <c r="AB15" s="92"/>
      <c r="AC15" s="92"/>
      <c r="AD15" s="165"/>
      <c r="AE15" s="164"/>
      <c r="AF15" s="91"/>
      <c r="AG15" s="91"/>
      <c r="AH15" s="91"/>
      <c r="AI15" s="170"/>
      <c r="AJ15" s="93"/>
      <c r="AK15" s="102"/>
      <c r="AM15" s="95"/>
      <c r="AN15" s="153"/>
      <c r="AO15" s="103"/>
      <c r="AP15" s="103"/>
      <c r="AQ15" s="103"/>
      <c r="AR15" s="154"/>
      <c r="AS15" s="89"/>
      <c r="AT15" s="89"/>
      <c r="AU15" s="90"/>
      <c r="AV15" s="90"/>
      <c r="AW15" s="90"/>
      <c r="AX15" s="164"/>
      <c r="AY15" s="91"/>
      <c r="AZ15" s="149"/>
      <c r="BA15" s="149"/>
      <c r="BB15" s="165"/>
      <c r="BC15" s="164"/>
      <c r="BD15" s="91"/>
      <c r="BE15" s="91"/>
      <c r="BF15" s="91"/>
      <c r="BG15" s="170"/>
      <c r="BH15" s="93"/>
      <c r="BI15" s="103"/>
      <c r="BJ15" s="103"/>
      <c r="BK15" s="103"/>
      <c r="BL15" s="95"/>
      <c r="BM15" s="93"/>
      <c r="BN15" s="103"/>
      <c r="BO15" s="103"/>
      <c r="BP15" s="103"/>
      <c r="BQ15" s="154"/>
      <c r="BR15" s="93"/>
      <c r="BV15" s="95"/>
      <c r="BW15" s="93"/>
      <c r="CA15" s="95"/>
      <c r="CB15" s="164"/>
      <c r="CC15" s="91"/>
      <c r="CD15" s="91"/>
      <c r="CE15" s="91"/>
      <c r="CF15" s="170"/>
    </row>
    <row r="16" spans="1:84" s="257" customFormat="1" x14ac:dyDescent="0.25">
      <c r="A16" s="279" t="s">
        <v>100</v>
      </c>
      <c r="B16" s="257" t="s">
        <v>42</v>
      </c>
      <c r="C16" s="257" t="s">
        <v>43</v>
      </c>
      <c r="D16" s="257" t="s">
        <v>56</v>
      </c>
      <c r="E16" s="257" t="s">
        <v>172</v>
      </c>
      <c r="F16" s="257" t="s">
        <v>18</v>
      </c>
      <c r="G16" s="257" t="s">
        <v>177</v>
      </c>
      <c r="H16" s="278" t="str">
        <f>Master_Table[[#This Row],[LES-Type]]&amp;"-"&amp;Master_Table[[#This Row],[Nominal CCT+CRI]]&amp;Master_Table[[#This Row],[Tech]]</f>
        <v>9mm-1840GDP-A</v>
      </c>
      <c r="I16"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Row],[Generation]]&amp;"-25"</f>
        <v>BXRV-TR-1840G-10A0-A-25</v>
      </c>
      <c r="J16" s="257">
        <v>500</v>
      </c>
      <c r="K16" s="259">
        <v>700</v>
      </c>
      <c r="L16" s="260">
        <v>660</v>
      </c>
      <c r="M16" s="261">
        <f>Master_Table[[#This Row],[Typical Lumens]]/(Master_Table[[#This Row],[Typical Voltage]]*Master_Table[[#This Row],[Typical Current]]/1000)</f>
        <v>75</v>
      </c>
      <c r="N16" s="257">
        <v>17.600000000000001</v>
      </c>
      <c r="O16" s="257">
        <v>-5.9</v>
      </c>
      <c r="P16" s="262">
        <v>0</v>
      </c>
      <c r="Q16" s="263">
        <v>3.2593806367612429E-9</v>
      </c>
      <c r="R16" s="263">
        <v>-5.358284875250346E-6</v>
      </c>
      <c r="S16" s="263">
        <v>5.7013143736789826E-3</v>
      </c>
      <c r="T16" s="264">
        <v>15.681491452377943</v>
      </c>
      <c r="U16" s="266">
        <v>0</v>
      </c>
      <c r="V16" s="266">
        <v>2.1690977096069365E-10</v>
      </c>
      <c r="W16" s="267">
        <v>-6.727900721730406E-7</v>
      </c>
      <c r="X16" s="267">
        <v>2.2821675933463472E-3</v>
      </c>
      <c r="Y16" s="268">
        <v>0</v>
      </c>
      <c r="Z16" s="269">
        <v>0</v>
      </c>
      <c r="AA16" s="270">
        <v>1.6806700609483166E-8</v>
      </c>
      <c r="AB16" s="271">
        <v>-7.93129181013492E-6</v>
      </c>
      <c r="AC16" s="271">
        <v>-1.5397616133092889E-3</v>
      </c>
      <c r="AD16" s="272">
        <v>1.0431884930170432</v>
      </c>
      <c r="AE16" s="269">
        <v>0</v>
      </c>
      <c r="AF16" s="270">
        <v>277.33</v>
      </c>
      <c r="AG16" s="270">
        <v>-962.29</v>
      </c>
      <c r="AH16" s="270">
        <v>-1515</v>
      </c>
      <c r="AI16" s="273">
        <v>4000.9</v>
      </c>
      <c r="AJ16" s="260">
        <v>1060</v>
      </c>
      <c r="AK16" s="261">
        <f>Master_Table[[#This Row],[Typical Lumens2]]/(Master_Table[[#This Row],[Typical Voltage2]]*Master_Table[[#This Row],[Typical Current]]/1000)</f>
        <v>116.48351648351648</v>
      </c>
      <c r="AL16" s="257">
        <v>18.2</v>
      </c>
      <c r="AM16" s="259">
        <v>-5.9</v>
      </c>
      <c r="AN16" s="262">
        <v>0</v>
      </c>
      <c r="AO16" s="263">
        <v>3.3704958857417395E-9</v>
      </c>
      <c r="AP16" s="263">
        <v>-5.5409536778156982E-6</v>
      </c>
      <c r="AQ16" s="263">
        <v>5.8956773636907661E-3</v>
      </c>
      <c r="AR16" s="264">
        <v>16.216087751890825</v>
      </c>
      <c r="AS16" s="266">
        <v>0</v>
      </c>
      <c r="AT16" s="266">
        <v>2.3683998976869951E-10</v>
      </c>
      <c r="AU16" s="267">
        <v>-7.2270008891487307E-7</v>
      </c>
      <c r="AV16" s="267">
        <v>2.3021400470152613E-3</v>
      </c>
      <c r="AW16" s="267">
        <v>0</v>
      </c>
      <c r="AX16" s="269">
        <v>0</v>
      </c>
      <c r="AY16" s="270">
        <v>2.3090844101982709E-8</v>
      </c>
      <c r="AZ16" s="277">
        <v>-7.4552957393842314E-6</v>
      </c>
      <c r="BA16" s="277">
        <v>-2.0106740455534161E-3</v>
      </c>
      <c r="BB16" s="272">
        <v>1.0545656165368571</v>
      </c>
      <c r="BC16" s="269">
        <v>0</v>
      </c>
      <c r="BD16" s="270">
        <v>-2.7199999999999998E-2</v>
      </c>
      <c r="BE16" s="270">
        <v>37.713999999999999</v>
      </c>
      <c r="BF16" s="270">
        <v>2435.3000000000002</v>
      </c>
      <c r="BG16" s="273">
        <v>1837.8</v>
      </c>
      <c r="BH16" s="260">
        <v>0</v>
      </c>
      <c r="BI16" s="263">
        <v>-2.3379143978853158E-11</v>
      </c>
      <c r="BJ16" s="263">
        <v>1.5306565289819192E-7</v>
      </c>
      <c r="BK16" s="263">
        <v>-7.2586924275767472E-4</v>
      </c>
      <c r="BL16" s="259">
        <v>1.9517603165300583</v>
      </c>
      <c r="BM16" s="260">
        <v>0</v>
      </c>
      <c r="BN16" s="263">
        <v>2.3279E-11</v>
      </c>
      <c r="BO16" s="263">
        <v>-1.5241E-7</v>
      </c>
      <c r="BP16" s="263">
        <v>7.2276000000000003E-4</v>
      </c>
      <c r="BQ16" s="264">
        <v>-0.94343999999999995</v>
      </c>
      <c r="BR16" s="260">
        <v>0</v>
      </c>
      <c r="BS16" s="257">
        <v>-0.58322485618268016</v>
      </c>
      <c r="BT16" s="257">
        <v>62.805497276614901</v>
      </c>
      <c r="BU16" s="257">
        <v>436.57001680007335</v>
      </c>
      <c r="BV16" s="259">
        <v>0</v>
      </c>
      <c r="BW16" s="260">
        <v>0</v>
      </c>
      <c r="BX16" s="257">
        <v>0.430948236742003</v>
      </c>
      <c r="BY16" s="257">
        <v>65.687167424128475</v>
      </c>
      <c r="BZ16" s="257">
        <v>433.35605621617094</v>
      </c>
      <c r="CA16" s="259">
        <v>0</v>
      </c>
      <c r="CB16" s="269">
        <v>0</v>
      </c>
      <c r="CC16" s="270">
        <v>-2.7199999999999998E-2</v>
      </c>
      <c r="CD16" s="270">
        <v>37.713999999999999</v>
      </c>
      <c r="CE16" s="270">
        <v>2435.3000000000002</v>
      </c>
      <c r="CF16" s="273">
        <v>1837.8</v>
      </c>
    </row>
    <row r="17" spans="1:84" s="304" customFormat="1" ht="16.5" thickBot="1" x14ac:dyDescent="0.3">
      <c r="A17" s="320" t="s">
        <v>100</v>
      </c>
      <c r="B17" s="321" t="s">
        <v>42</v>
      </c>
      <c r="C17" s="321" t="s">
        <v>43</v>
      </c>
      <c r="D17" s="321" t="s">
        <v>233</v>
      </c>
      <c r="E17" s="321" t="s">
        <v>172</v>
      </c>
      <c r="F17" s="321" t="s">
        <v>18</v>
      </c>
      <c r="G17" s="321" t="s">
        <v>177</v>
      </c>
      <c r="H17" s="322" t="str">
        <f>Master_Table[[#This Row],[LES-Type]]&amp;"-"&amp;Master_Table[[#This Row],[Nominal CCT+CRI]]&amp;Master_Table[[#This Row],[Tech]]</f>
        <v>9mm-1840SDP-A</v>
      </c>
      <c r="I17" s="285" t="s">
        <v>232</v>
      </c>
      <c r="J17" s="284">
        <v>500</v>
      </c>
      <c r="K17" s="286">
        <v>700</v>
      </c>
      <c r="L17" s="287">
        <v>660</v>
      </c>
      <c r="M17" s="261">
        <f>Master_Table[[#This Row],[Typical Lumens]]/(Master_Table[[#This Row],[Typical Voltage]]*Master_Table[[#This Row],[Typical Current]]/1000)</f>
        <v>75</v>
      </c>
      <c r="N17" s="284">
        <v>17.600000000000001</v>
      </c>
      <c r="O17" s="284">
        <v>-5.9</v>
      </c>
      <c r="P17" s="289">
        <v>0</v>
      </c>
      <c r="Q17" s="290">
        <v>3.2593806367612429E-9</v>
      </c>
      <c r="R17" s="290">
        <v>-5.358284875250346E-6</v>
      </c>
      <c r="S17" s="290">
        <v>5.7013143736789826E-3</v>
      </c>
      <c r="T17" s="291">
        <v>15.681491452377943</v>
      </c>
      <c r="U17" s="292">
        <v>0</v>
      </c>
      <c r="V17" s="292">
        <v>2.1690977096069365E-10</v>
      </c>
      <c r="W17" s="293">
        <v>-6.727900721730406E-7</v>
      </c>
      <c r="X17" s="293">
        <v>2.2821675933463472E-3</v>
      </c>
      <c r="Y17" s="294">
        <v>0</v>
      </c>
      <c r="Z17" s="295">
        <v>0</v>
      </c>
      <c r="AA17" s="296">
        <v>1.6806700609483166E-8</v>
      </c>
      <c r="AB17" s="293">
        <v>-7.93129181013492E-6</v>
      </c>
      <c r="AC17" s="293">
        <v>-1.5397616133092889E-3</v>
      </c>
      <c r="AD17" s="297">
        <v>1.0431884930170432</v>
      </c>
      <c r="AE17" s="298">
        <v>0</v>
      </c>
      <c r="AF17" s="299">
        <v>-1162.7</v>
      </c>
      <c r="AG17" s="299">
        <v>2808</v>
      </c>
      <c r="AH17" s="299">
        <v>-3945.3</v>
      </c>
      <c r="AI17" s="300">
        <v>4997.6000000000004</v>
      </c>
      <c r="AJ17" s="287">
        <v>954</v>
      </c>
      <c r="AK17" s="261">
        <f>Master_Table[[#This Row],[Typical Lumens2]]/(Master_Table[[#This Row],[Typical Voltage2]]*Master_Table[[#This Row],[Typical Current]]/1000)</f>
        <v>104.83516483516483</v>
      </c>
      <c r="AL17" s="284">
        <v>18.2</v>
      </c>
      <c r="AM17" s="286">
        <v>-5.9</v>
      </c>
      <c r="AN17" s="289">
        <v>0</v>
      </c>
      <c r="AO17" s="290">
        <v>3.3704958857417395E-9</v>
      </c>
      <c r="AP17" s="290">
        <v>-5.5409536778156982E-6</v>
      </c>
      <c r="AQ17" s="290">
        <v>5.8956773636907661E-3</v>
      </c>
      <c r="AR17" s="291">
        <v>16.216087751890825</v>
      </c>
      <c r="AS17" s="292">
        <v>0</v>
      </c>
      <c r="AT17" s="292">
        <v>2.3683998976869951E-10</v>
      </c>
      <c r="AU17" s="293">
        <v>-7.2270008891487307E-7</v>
      </c>
      <c r="AV17" s="293">
        <v>2.3021400470152613E-3</v>
      </c>
      <c r="AW17" s="294">
        <v>0</v>
      </c>
      <c r="AX17" s="298">
        <v>0</v>
      </c>
      <c r="AY17" s="299">
        <v>2.3090844101982709E-8</v>
      </c>
      <c r="AZ17" s="301">
        <v>-7.4552957393842314E-6</v>
      </c>
      <c r="BA17" s="301">
        <v>-2.0106740455534161E-3</v>
      </c>
      <c r="BB17" s="302">
        <v>1.0545656165368571</v>
      </c>
      <c r="BC17" s="295">
        <v>0</v>
      </c>
      <c r="BD17" s="296">
        <v>-2.7199999999999998E-2</v>
      </c>
      <c r="BE17" s="296">
        <v>37.713999999999999</v>
      </c>
      <c r="BF17" s="296">
        <v>2435.3000000000002</v>
      </c>
      <c r="BG17" s="303">
        <v>1837.8</v>
      </c>
      <c r="BH17" s="287">
        <v>0</v>
      </c>
      <c r="BI17" s="290">
        <v>-7.4265481647119964E-11</v>
      </c>
      <c r="BJ17" s="290">
        <v>4.8622372343475043E-7</v>
      </c>
      <c r="BK17" s="290">
        <v>-2.3057742821973636E-3</v>
      </c>
      <c r="BL17" s="286">
        <v>6.1999027893385863</v>
      </c>
      <c r="BM17" s="287">
        <v>0</v>
      </c>
      <c r="BN17" s="290">
        <v>2.3279E-11</v>
      </c>
      <c r="BO17" s="290">
        <v>-1.5241E-7</v>
      </c>
      <c r="BP17" s="290">
        <v>7.2276000000000003E-4</v>
      </c>
      <c r="BQ17" s="291">
        <v>-0.94343999999999995</v>
      </c>
      <c r="BR17" s="287">
        <v>0</v>
      </c>
      <c r="BS17" s="290">
        <v>-0.58344519941303052</v>
      </c>
      <c r="BT17" s="290">
        <v>62.829225288216236</v>
      </c>
      <c r="BU17" s="290">
        <v>436.7349536109038</v>
      </c>
      <c r="BV17" s="286">
        <v>0</v>
      </c>
      <c r="BW17" s="325">
        <v>0</v>
      </c>
      <c r="BX17" s="326">
        <v>0.43144247157231358</v>
      </c>
      <c r="BY17" s="326">
        <v>65.762501033312915</v>
      </c>
      <c r="BZ17" s="326">
        <v>433.85305246455397</v>
      </c>
      <c r="CA17" s="327">
        <v>0</v>
      </c>
      <c r="CB17" s="295">
        <v>0</v>
      </c>
      <c r="CC17" s="296">
        <v>-2.7199999999999998E-2</v>
      </c>
      <c r="CD17" s="296">
        <v>37.713999999999999</v>
      </c>
      <c r="CE17" s="296">
        <v>2435.3000000000002</v>
      </c>
      <c r="CF17" s="303">
        <v>1837.8</v>
      </c>
    </row>
    <row r="18" spans="1:84" s="257" customFormat="1" x14ac:dyDescent="0.25">
      <c r="A18" s="279" t="s">
        <v>100</v>
      </c>
      <c r="B18" s="257" t="s">
        <v>42</v>
      </c>
      <c r="C18" s="257" t="s">
        <v>43</v>
      </c>
      <c r="D18" s="267" t="s">
        <v>41</v>
      </c>
      <c r="E18" s="257" t="s">
        <v>172</v>
      </c>
      <c r="F18" s="257" t="s">
        <v>171</v>
      </c>
      <c r="G18" s="257" t="s">
        <v>178</v>
      </c>
      <c r="H18" s="278" t="str">
        <f>Master_Table[[#This Row],[LES-Type]]&amp;"-"&amp;Master_Table[[#This Row],[Nominal CCT+CRI]]&amp;Master_Table[[#This Row],[Tech]]</f>
        <v>9mm-2750GDP-B</v>
      </c>
      <c r="I18"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BXRV-TR-2750G-10A0-B-23</v>
      </c>
      <c r="J18" s="257">
        <v>250</v>
      </c>
      <c r="K18" s="259">
        <v>480</v>
      </c>
      <c r="L18" s="249">
        <v>950</v>
      </c>
      <c r="M18" s="275">
        <f>Master_Table[[#This Row],[Typical Lumens]]/(Master_Table[[#This Row],[Typical Voltage]]*Master_Table[[#This Row],[Typical Current]]/1000)</f>
        <v>108.26210826210826</v>
      </c>
      <c r="N18" s="253">
        <v>35.1</v>
      </c>
      <c r="O18" s="253">
        <v>-12.8</v>
      </c>
      <c r="P18" s="276">
        <v>0</v>
      </c>
      <c r="Q18" s="250">
        <v>1.4157327176128433E-8</v>
      </c>
      <c r="R18" s="250">
        <v>-1.7559789937735926E-5</v>
      </c>
      <c r="S18" s="250">
        <v>1.8034269250141264E-2</v>
      </c>
      <c r="T18" s="252">
        <v>31.467711321446174</v>
      </c>
      <c r="U18" s="244">
        <v>0</v>
      </c>
      <c r="V18" s="244">
        <v>1.3018167003323026E-9</v>
      </c>
      <c r="W18" s="241">
        <v>-2.4563443007110993E-6</v>
      </c>
      <c r="X18" s="241">
        <v>4.5327225314070064E-3</v>
      </c>
      <c r="Y18" s="245">
        <v>0</v>
      </c>
      <c r="Z18" s="270">
        <v>0</v>
      </c>
      <c r="AA18" s="270">
        <v>-9.997063362637225E-9</v>
      </c>
      <c r="AB18" s="277">
        <v>-1.999412672527445E-6</v>
      </c>
      <c r="AC18" s="277">
        <v>-1.3995888707692115E-3</v>
      </c>
      <c r="AD18" s="271">
        <v>1.036395558804601</v>
      </c>
      <c r="AE18" s="246">
        <v>0</v>
      </c>
      <c r="AF18" s="247">
        <v>-1162.7</v>
      </c>
      <c r="AG18" s="247">
        <v>2808</v>
      </c>
      <c r="AH18" s="247">
        <v>-3945.3</v>
      </c>
      <c r="AI18" s="248">
        <v>4997.6000000000004</v>
      </c>
      <c r="AJ18" s="249">
        <v>1120</v>
      </c>
      <c r="AK18" s="275">
        <f>Master_Table[[#This Row],[Typical Lumens2]]/(Master_Table[[#This Row],[Typical Voltage2]]*Master_Table[[#This Row],[Typical Current]]/1000)</f>
        <v>127.63532763532763</v>
      </c>
      <c r="AL18" s="253">
        <v>35.1</v>
      </c>
      <c r="AM18" s="251">
        <v>-12.8</v>
      </c>
      <c r="AN18" s="276">
        <v>0</v>
      </c>
      <c r="AO18" s="250">
        <v>1.4157327176128433E-8</v>
      </c>
      <c r="AP18" s="250">
        <v>-1.7559789937735926E-5</v>
      </c>
      <c r="AQ18" s="250">
        <v>1.8034269250141264E-2</v>
      </c>
      <c r="AR18" s="252">
        <v>31.467711321446174</v>
      </c>
      <c r="AS18" s="243">
        <v>0</v>
      </c>
      <c r="AT18" s="244">
        <v>2.1465395519388609E-10</v>
      </c>
      <c r="AU18" s="241">
        <v>-1.5538942879132652E-6</v>
      </c>
      <c r="AV18" s="241">
        <v>4.3750576997786984E-3</v>
      </c>
      <c r="AW18" s="245">
        <v>0</v>
      </c>
      <c r="AX18" s="246">
        <v>0</v>
      </c>
      <c r="AY18" s="247">
        <v>-1.6435710137992582E-8</v>
      </c>
      <c r="AZ18" s="241">
        <v>3.8694226697267441E-7</v>
      </c>
      <c r="BA18" s="241">
        <v>-1.7339953037004779E-3</v>
      </c>
      <c r="BB18" s="236">
        <v>1.0433648516465603</v>
      </c>
      <c r="BC18" s="246">
        <v>0</v>
      </c>
      <c r="BD18" s="247">
        <v>1162.7</v>
      </c>
      <c r="BE18" s="247">
        <v>-680</v>
      </c>
      <c r="BF18" s="247">
        <v>1817.3</v>
      </c>
      <c r="BG18" s="248">
        <v>2697.6</v>
      </c>
      <c r="BH18" s="249">
        <v>0</v>
      </c>
      <c r="BI18" s="250">
        <v>8.4701000000000004E-12</v>
      </c>
      <c r="BJ18" s="250">
        <v>-6.9332E-9</v>
      </c>
      <c r="BK18" s="250">
        <v>-7.6911000000000004E-4</v>
      </c>
      <c r="BL18" s="251">
        <v>2.96</v>
      </c>
      <c r="BM18" s="249">
        <v>0</v>
      </c>
      <c r="BN18" s="250">
        <v>-8.4701000000000004E-12</v>
      </c>
      <c r="BO18" s="250">
        <v>6.9351999999999998E-9</v>
      </c>
      <c r="BP18" s="250">
        <v>7.6911000000000004E-4</v>
      </c>
      <c r="BQ18" s="252">
        <v>-1.96</v>
      </c>
      <c r="BR18" s="249">
        <v>0</v>
      </c>
      <c r="BS18" s="250">
        <v>-0.31734822938008145</v>
      </c>
      <c r="BT18" s="250">
        <v>31.862457688400109</v>
      </c>
      <c r="BU18" s="250">
        <v>218.54687260028666</v>
      </c>
      <c r="BV18" s="252">
        <v>0</v>
      </c>
      <c r="BW18" s="249">
        <v>0</v>
      </c>
      <c r="BX18" s="253">
        <v>4.7886421912319479</v>
      </c>
      <c r="BY18" s="250">
        <v>15.38909968854859</v>
      </c>
      <c r="BZ18" s="250">
        <v>229.67641242994992</v>
      </c>
      <c r="CA18" s="252">
        <v>0</v>
      </c>
      <c r="CB18" s="246">
        <v>0</v>
      </c>
      <c r="CC18" s="247">
        <v>1162.7</v>
      </c>
      <c r="CD18" s="247">
        <v>-680</v>
      </c>
      <c r="CE18" s="247">
        <v>1817.3</v>
      </c>
      <c r="CF18" s="248">
        <v>2697.6</v>
      </c>
    </row>
    <row r="19" spans="1:84" s="257" customFormat="1" x14ac:dyDescent="0.25">
      <c r="A19" s="279" t="s">
        <v>100</v>
      </c>
      <c r="B19" s="257" t="s">
        <v>42</v>
      </c>
      <c r="C19" s="257" t="s">
        <v>43</v>
      </c>
      <c r="D19" s="257" t="s">
        <v>49</v>
      </c>
      <c r="E19" s="257" t="s">
        <v>172</v>
      </c>
      <c r="F19" s="257" t="s">
        <v>171</v>
      </c>
      <c r="G19" s="257" t="s">
        <v>178</v>
      </c>
      <c r="H19" s="278" t="str">
        <f>Master_Table[[#This Row],[LES-Type]]&amp;"-"&amp;Master_Table[[#This Row],[Nominal CCT+CRI]]&amp;Master_Table[[#This Row],[Tech]]</f>
        <v>9mm-2765GDP-B</v>
      </c>
      <c r="I19"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BXRV-TR-2765G-10A0-B-23</v>
      </c>
      <c r="J19" s="257">
        <v>250</v>
      </c>
      <c r="K19" s="259">
        <v>480</v>
      </c>
      <c r="L19" s="260">
        <v>950</v>
      </c>
      <c r="M19" s="261">
        <f>Master_Table[[#This Row],[Typical Lumens]]/(Master_Table[[#This Row],[Typical Voltage]]*Master_Table[[#This Row],[Typical Current]]/1000)</f>
        <v>108.26210826210826</v>
      </c>
      <c r="N19" s="257">
        <v>35.1</v>
      </c>
      <c r="O19" s="257">
        <v>-12.8</v>
      </c>
      <c r="P19" s="262">
        <v>0</v>
      </c>
      <c r="Q19" s="263">
        <v>1.4157327176128433E-8</v>
      </c>
      <c r="R19" s="263">
        <v>-1.7559789937735926E-5</v>
      </c>
      <c r="S19" s="263">
        <v>1.8034269250141264E-2</v>
      </c>
      <c r="T19" s="264">
        <v>31.467711321446174</v>
      </c>
      <c r="U19" s="266">
        <v>0</v>
      </c>
      <c r="V19" s="266">
        <v>1.3018167003323026E-9</v>
      </c>
      <c r="W19" s="267">
        <v>-2.4563443007110993E-6</v>
      </c>
      <c r="X19" s="267">
        <v>4.5327225314070064E-3</v>
      </c>
      <c r="Y19" s="268">
        <v>0</v>
      </c>
      <c r="Z19" s="270">
        <v>0</v>
      </c>
      <c r="AA19" s="270">
        <v>-9.997063362637225E-9</v>
      </c>
      <c r="AB19" s="271">
        <v>-1.999412672527445E-6</v>
      </c>
      <c r="AC19" s="271">
        <v>-1.3995888707692115E-3</v>
      </c>
      <c r="AD19" s="271">
        <v>1.036395558804601</v>
      </c>
      <c r="AE19" s="269">
        <v>0</v>
      </c>
      <c r="AF19" s="270">
        <v>-5439.9</v>
      </c>
      <c r="AG19" s="270">
        <v>11628</v>
      </c>
      <c r="AH19" s="270">
        <v>-9982.9</v>
      </c>
      <c r="AI19" s="273">
        <v>6487.6</v>
      </c>
      <c r="AJ19" s="260">
        <v>1130</v>
      </c>
      <c r="AK19" s="261">
        <f>Master_Table[[#This Row],[Typical Lumens2]]/(Master_Table[[#This Row],[Typical Voltage2]]*Master_Table[[#This Row],[Typical Current]]/1000)</f>
        <v>128.77492877492878</v>
      </c>
      <c r="AL19" s="257">
        <v>35.1</v>
      </c>
      <c r="AM19" s="259">
        <v>-12.8</v>
      </c>
      <c r="AN19" s="262">
        <v>0</v>
      </c>
      <c r="AO19" s="263">
        <v>1.4157327176128433E-8</v>
      </c>
      <c r="AP19" s="263">
        <v>-1.7559789937735926E-5</v>
      </c>
      <c r="AQ19" s="263">
        <v>1.8034269250141264E-2</v>
      </c>
      <c r="AR19" s="264">
        <v>31.467711321446174</v>
      </c>
      <c r="AS19" s="265">
        <v>0</v>
      </c>
      <c r="AT19" s="266">
        <v>2.1465395519388609E-10</v>
      </c>
      <c r="AU19" s="267">
        <v>-1.5538942879132652E-6</v>
      </c>
      <c r="AV19" s="267">
        <v>4.3750576997786984E-3</v>
      </c>
      <c r="AW19" s="268">
        <v>0</v>
      </c>
      <c r="AX19" s="269">
        <v>0</v>
      </c>
      <c r="AY19" s="270">
        <v>-1.6435710137992582E-8</v>
      </c>
      <c r="AZ19" s="271">
        <v>3.8694226697267441E-7</v>
      </c>
      <c r="BA19" s="271">
        <v>-1.7339953037004779E-3</v>
      </c>
      <c r="BB19" s="272">
        <v>1.0433648516465603</v>
      </c>
      <c r="BC19" s="269">
        <v>0</v>
      </c>
      <c r="BD19" s="270">
        <v>5439.9</v>
      </c>
      <c r="BE19" s="270">
        <v>-4691.3999999999996</v>
      </c>
      <c r="BF19" s="270">
        <v>3045.8</v>
      </c>
      <c r="BG19" s="273">
        <v>2693.2</v>
      </c>
      <c r="BH19" s="260">
        <v>0</v>
      </c>
      <c r="BI19" s="263">
        <v>-8.7960505630037875E-12</v>
      </c>
      <c r="BJ19" s="263">
        <v>1.877519843912848E-7</v>
      </c>
      <c r="BK19" s="263">
        <v>-1.3920927047815347E-3</v>
      </c>
      <c r="BL19" s="259">
        <v>3.5325761287865722</v>
      </c>
      <c r="BM19" s="260">
        <v>0</v>
      </c>
      <c r="BN19" s="263">
        <v>9.2087000000000005E-12</v>
      </c>
      <c r="BO19" s="263">
        <v>-1.9656000000000001E-7</v>
      </c>
      <c r="BP19" s="263">
        <v>1.4574E-3</v>
      </c>
      <c r="BQ19" s="264">
        <v>-2.6983000000000001</v>
      </c>
      <c r="BR19" s="260">
        <v>0</v>
      </c>
      <c r="BS19" s="257">
        <v>-0.31734822938008145</v>
      </c>
      <c r="BT19" s="257">
        <v>31.862457688400109</v>
      </c>
      <c r="BU19" s="257">
        <v>218.54687260028666</v>
      </c>
      <c r="BV19" s="259">
        <v>0</v>
      </c>
      <c r="BW19" s="260">
        <v>0</v>
      </c>
      <c r="BX19" s="257">
        <v>4.7886421912319479</v>
      </c>
      <c r="BY19" s="257">
        <v>15.38909968854859</v>
      </c>
      <c r="BZ19" s="257">
        <v>229.67641242994992</v>
      </c>
      <c r="CA19" s="259">
        <v>0</v>
      </c>
      <c r="CB19" s="269">
        <v>0</v>
      </c>
      <c r="CC19" s="270">
        <v>5439.9</v>
      </c>
      <c r="CD19" s="270">
        <v>-4691.3999999999996</v>
      </c>
      <c r="CE19" s="270">
        <v>3045.8</v>
      </c>
      <c r="CF19" s="273">
        <v>2693.2</v>
      </c>
    </row>
    <row r="20" spans="1:84" s="94" customFormat="1" x14ac:dyDescent="0.25">
      <c r="A20" s="104"/>
      <c r="H20" s="218"/>
      <c r="I20" s="218"/>
      <c r="K20" s="95"/>
      <c r="L20" s="220"/>
      <c r="M20" s="221"/>
      <c r="N20" s="217"/>
      <c r="O20" s="217"/>
      <c r="P20" s="153"/>
      <c r="Q20" s="103"/>
      <c r="R20" s="103"/>
      <c r="S20" s="103"/>
      <c r="T20" s="154"/>
      <c r="U20" s="89"/>
      <c r="V20" s="89"/>
      <c r="W20" s="90"/>
      <c r="X20" s="90"/>
      <c r="Y20" s="159"/>
      <c r="Z20" s="91"/>
      <c r="AA20" s="91"/>
      <c r="AB20" s="92"/>
      <c r="AC20" s="92"/>
      <c r="AD20" s="92"/>
      <c r="AE20" s="164"/>
      <c r="AF20" s="91"/>
      <c r="AG20" s="91"/>
      <c r="AH20" s="91"/>
      <c r="AI20" s="170"/>
      <c r="AJ20" s="220"/>
      <c r="AK20" s="221"/>
      <c r="AL20" s="217"/>
      <c r="AM20" s="219"/>
      <c r="AN20" s="153"/>
      <c r="AO20" s="103"/>
      <c r="AP20" s="103"/>
      <c r="AQ20" s="103"/>
      <c r="AR20" s="154"/>
      <c r="AS20" s="158"/>
      <c r="AT20" s="89"/>
      <c r="AU20" s="90"/>
      <c r="AV20" s="90"/>
      <c r="AW20" s="159"/>
      <c r="AX20" s="164"/>
      <c r="AY20" s="91"/>
      <c r="AZ20" s="92"/>
      <c r="BA20" s="92"/>
      <c r="BB20" s="165"/>
      <c r="BC20" s="164"/>
      <c r="BD20" s="91"/>
      <c r="BE20" s="91"/>
      <c r="BF20" s="91"/>
      <c r="BG20" s="170"/>
      <c r="BH20" s="93"/>
      <c r="BI20" s="103"/>
      <c r="BJ20" s="103"/>
      <c r="BK20" s="103"/>
      <c r="BL20" s="95"/>
      <c r="BM20" s="93"/>
      <c r="BN20" s="103"/>
      <c r="BO20" s="103"/>
      <c r="BP20" s="103"/>
      <c r="BQ20" s="154"/>
      <c r="BR20" s="93"/>
      <c r="BV20" s="95"/>
      <c r="BW20" s="93"/>
      <c r="CA20" s="95"/>
      <c r="CB20" s="164"/>
      <c r="CC20" s="91"/>
      <c r="CD20" s="91"/>
      <c r="CE20" s="91"/>
      <c r="CF20" s="170"/>
    </row>
    <row r="21" spans="1:84" s="257" customFormat="1" x14ac:dyDescent="0.25">
      <c r="A21" s="279" t="s">
        <v>100</v>
      </c>
      <c r="B21" s="257" t="s">
        <v>42</v>
      </c>
      <c r="C21" s="257" t="s">
        <v>43</v>
      </c>
      <c r="D21" s="257" t="s">
        <v>53</v>
      </c>
      <c r="E21" s="257" t="s">
        <v>172</v>
      </c>
      <c r="F21" s="257" t="s">
        <v>171</v>
      </c>
      <c r="G21" s="257" t="s">
        <v>178</v>
      </c>
      <c r="H21" s="278" t="str">
        <f>Master_Table[[#This Row],[LES-Type]]&amp;"-"&amp;Master_Table[[#This Row],[Nominal CCT+CRI]]&amp;Master_Table[[#This Row],[Tech]]</f>
        <v>9mm-2750SDP-B</v>
      </c>
      <c r="I21"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BXRV-TR-2750S-10A0-B-23</v>
      </c>
      <c r="J21" s="257">
        <v>250</v>
      </c>
      <c r="K21" s="259">
        <v>480</v>
      </c>
      <c r="L21" s="260">
        <v>842</v>
      </c>
      <c r="M21" s="261">
        <f>Master_Table[[#This Row],[Typical Lumens]]/(Master_Table[[#This Row],[Typical Voltage]]*Master_Table[[#This Row],[Typical Current]]/1000)</f>
        <v>95.95441595441595</v>
      </c>
      <c r="N21" s="257">
        <v>35.1</v>
      </c>
      <c r="O21" s="257">
        <v>-12.8</v>
      </c>
      <c r="P21" s="262">
        <v>0</v>
      </c>
      <c r="Q21" s="263">
        <v>1.4157327176128433E-8</v>
      </c>
      <c r="R21" s="263">
        <v>-1.7559789937735926E-5</v>
      </c>
      <c r="S21" s="263">
        <v>1.8034269250141264E-2</v>
      </c>
      <c r="T21" s="264">
        <v>31.467711321446174</v>
      </c>
      <c r="U21" s="266">
        <v>0</v>
      </c>
      <c r="V21" s="266">
        <v>1.3018167003323026E-9</v>
      </c>
      <c r="W21" s="267">
        <v>-2.4563443007110993E-6</v>
      </c>
      <c r="X21" s="267">
        <v>4.5327225314070064E-3</v>
      </c>
      <c r="Y21" s="268">
        <v>0</v>
      </c>
      <c r="Z21" s="270">
        <v>0</v>
      </c>
      <c r="AA21" s="270">
        <v>-9.997063362637225E-9</v>
      </c>
      <c r="AB21" s="271">
        <v>-1.999412672527445E-6</v>
      </c>
      <c r="AC21" s="271">
        <v>-1.3995888707692115E-3</v>
      </c>
      <c r="AD21" s="271">
        <v>1.036395558804601</v>
      </c>
      <c r="AE21" s="269">
        <v>0</v>
      </c>
      <c r="AF21" s="270">
        <v>-213.33</v>
      </c>
      <c r="AG21" s="270">
        <v>27.428999999999998</v>
      </c>
      <c r="AH21" s="270">
        <v>-2114.1</v>
      </c>
      <c r="AI21" s="273">
        <v>5001</v>
      </c>
      <c r="AJ21" s="260">
        <v>1003</v>
      </c>
      <c r="AK21" s="261">
        <f>Master_Table[[#This Row],[Typical Lumens2]]/(Master_Table[[#This Row],[Typical Voltage2]]*Master_Table[[#This Row],[Typical Current]]/1000)</f>
        <v>114.3019943019943</v>
      </c>
      <c r="AL21" s="257">
        <v>35.1</v>
      </c>
      <c r="AM21" s="259">
        <v>-12.8</v>
      </c>
      <c r="AN21" s="262">
        <v>0</v>
      </c>
      <c r="AO21" s="263">
        <v>1.4157327176128433E-8</v>
      </c>
      <c r="AP21" s="263">
        <v>-1.7559789937735926E-5</v>
      </c>
      <c r="AQ21" s="263">
        <v>1.8034269250141264E-2</v>
      </c>
      <c r="AR21" s="264">
        <v>31.467711321446174</v>
      </c>
      <c r="AS21" s="265">
        <v>0</v>
      </c>
      <c r="AT21" s="266">
        <v>2.1465395519388609E-10</v>
      </c>
      <c r="AU21" s="267">
        <v>-1.5538942879132652E-6</v>
      </c>
      <c r="AV21" s="267">
        <v>4.3750576997786984E-3</v>
      </c>
      <c r="AW21" s="268">
        <v>0</v>
      </c>
      <c r="AX21" s="269">
        <v>0</v>
      </c>
      <c r="AY21" s="270">
        <v>-1.6503999999999997E-8</v>
      </c>
      <c r="AZ21" s="271">
        <v>3.8854999999999992E-7</v>
      </c>
      <c r="BA21" s="271">
        <v>-1.7411999999999996E-3</v>
      </c>
      <c r="BB21" s="272">
        <v>1.0476999999999999</v>
      </c>
      <c r="BC21" s="269">
        <v>0</v>
      </c>
      <c r="BD21" s="270">
        <v>-208</v>
      </c>
      <c r="BE21" s="270">
        <v>195.43</v>
      </c>
      <c r="BF21" s="270">
        <v>2233.6</v>
      </c>
      <c r="BG21" s="273">
        <v>2777.9</v>
      </c>
      <c r="BH21" s="260">
        <v>0</v>
      </c>
      <c r="BI21" s="263">
        <v>5.1361610246156171E-12</v>
      </c>
      <c r="BJ21" s="263">
        <v>-8.370754744191012E-8</v>
      </c>
      <c r="BK21" s="263">
        <v>-2.7462394021744495E-5</v>
      </c>
      <c r="BL21" s="259">
        <v>1.5884578291099047</v>
      </c>
      <c r="BM21" s="260">
        <v>0</v>
      </c>
      <c r="BN21" s="263">
        <v>-5.1114000000000002E-12</v>
      </c>
      <c r="BO21" s="263">
        <v>8.3304000000000003E-8</v>
      </c>
      <c r="BP21" s="263">
        <v>2.7330000000000001E-5</v>
      </c>
      <c r="BQ21" s="264">
        <v>-0.58077999999999996</v>
      </c>
      <c r="BR21" s="260">
        <v>0</v>
      </c>
      <c r="BS21" s="257">
        <v>-0.31700161763593893</v>
      </c>
      <c r="BT21" s="257">
        <v>31.827657109699487</v>
      </c>
      <c r="BU21" s="257">
        <v>218.30817294585071</v>
      </c>
      <c r="BV21" s="259">
        <v>0</v>
      </c>
      <c r="BW21" s="260">
        <v>0</v>
      </c>
      <c r="BX21" s="257">
        <v>4.7957643992630095</v>
      </c>
      <c r="BY21" s="257">
        <v>15.411988090942339</v>
      </c>
      <c r="BZ21" s="257">
        <v>230.01801305990494</v>
      </c>
      <c r="CA21" s="259">
        <v>0</v>
      </c>
      <c r="CB21" s="269">
        <v>0</v>
      </c>
      <c r="CC21" s="270">
        <v>-208</v>
      </c>
      <c r="CD21" s="270">
        <v>195.43</v>
      </c>
      <c r="CE21" s="270">
        <v>2233.6</v>
      </c>
      <c r="CF21" s="273">
        <v>2777.9</v>
      </c>
    </row>
    <row r="22" spans="1:84" s="257" customFormat="1" x14ac:dyDescent="0.25">
      <c r="A22" s="279" t="s">
        <v>100</v>
      </c>
      <c r="B22" s="257" t="s">
        <v>42</v>
      </c>
      <c r="C22" s="257" t="s">
        <v>43</v>
      </c>
      <c r="D22" s="257" t="s">
        <v>54</v>
      </c>
      <c r="E22" s="257" t="s">
        <v>172</v>
      </c>
      <c r="F22" s="257" t="s">
        <v>171</v>
      </c>
      <c r="G22" s="257" t="s">
        <v>178</v>
      </c>
      <c r="H22" s="278" t="str">
        <f>Master_Table[[#This Row],[LES-Type]]&amp;"-"&amp;Master_Table[[#This Row],[Nominal CCT+CRI]]&amp;Master_Table[[#This Row],[Tech]]</f>
        <v>9mm-2765SDP-B</v>
      </c>
      <c r="I22"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BXRV-TR-2765S-10A0-B-23</v>
      </c>
      <c r="J22" s="257">
        <v>250</v>
      </c>
      <c r="K22" s="259">
        <v>480</v>
      </c>
      <c r="L22" s="260">
        <v>842</v>
      </c>
      <c r="M22" s="261">
        <f>Master_Table[[#This Row],[Typical Lumens]]/(Master_Table[[#This Row],[Typical Voltage]]*Master_Table[[#This Row],[Typical Current]]/1000)</f>
        <v>95.95441595441595</v>
      </c>
      <c r="N22" s="257">
        <v>35.1</v>
      </c>
      <c r="O22" s="257">
        <v>-12.8</v>
      </c>
      <c r="P22" s="262">
        <v>0</v>
      </c>
      <c r="Q22" s="263">
        <v>1.4157327176128433E-8</v>
      </c>
      <c r="R22" s="263">
        <v>-1.7559789937735926E-5</v>
      </c>
      <c r="S22" s="263">
        <v>1.8034269250141264E-2</v>
      </c>
      <c r="T22" s="264">
        <v>31.467711321446174</v>
      </c>
      <c r="U22" s="266">
        <v>0</v>
      </c>
      <c r="V22" s="266">
        <v>1.3018167003323026E-9</v>
      </c>
      <c r="W22" s="267">
        <v>-2.4563443007110993E-6</v>
      </c>
      <c r="X22" s="267">
        <v>4.5327225314070064E-3</v>
      </c>
      <c r="Y22" s="268">
        <v>0</v>
      </c>
      <c r="Z22" s="270">
        <v>0</v>
      </c>
      <c r="AA22" s="270">
        <v>-9.997063362637225E-9</v>
      </c>
      <c r="AB22" s="271">
        <v>-1.999412672527445E-6</v>
      </c>
      <c r="AC22" s="271">
        <v>-1.3995888707692115E-3</v>
      </c>
      <c r="AD22" s="271">
        <v>1.036395558804601</v>
      </c>
      <c r="AE22" s="269">
        <v>0</v>
      </c>
      <c r="AF22" s="270">
        <v>-350.67</v>
      </c>
      <c r="AG22" s="270">
        <v>2166.4</v>
      </c>
      <c r="AH22" s="270">
        <v>-5615</v>
      </c>
      <c r="AI22" s="273">
        <v>6509.6</v>
      </c>
      <c r="AJ22" s="260">
        <v>1012</v>
      </c>
      <c r="AK22" s="261">
        <f>Master_Table[[#This Row],[Typical Lumens2]]/(Master_Table[[#This Row],[Typical Voltage2]]*Master_Table[[#This Row],[Typical Current]]/1000)</f>
        <v>115.32763532763532</v>
      </c>
      <c r="AL22" s="257">
        <v>35.1</v>
      </c>
      <c r="AM22" s="259">
        <v>-12.8</v>
      </c>
      <c r="AN22" s="262">
        <v>0</v>
      </c>
      <c r="AO22" s="263">
        <v>1.4157327176128433E-8</v>
      </c>
      <c r="AP22" s="263">
        <v>-1.7559789937735926E-5</v>
      </c>
      <c r="AQ22" s="263">
        <v>1.8034269250141264E-2</v>
      </c>
      <c r="AR22" s="264">
        <v>31.467711321446174</v>
      </c>
      <c r="AS22" s="265">
        <v>0</v>
      </c>
      <c r="AT22" s="266">
        <v>2.1465395519388609E-10</v>
      </c>
      <c r="AU22" s="267">
        <v>-1.5538942879132652E-6</v>
      </c>
      <c r="AV22" s="267">
        <v>4.3750576997786984E-3</v>
      </c>
      <c r="AW22" s="268">
        <v>0</v>
      </c>
      <c r="AX22" s="269">
        <v>0</v>
      </c>
      <c r="AY22" s="270">
        <v>-1.6503999999999997E-8</v>
      </c>
      <c r="AZ22" s="271">
        <v>3.8854999999999992E-7</v>
      </c>
      <c r="BA22" s="271">
        <v>-1.7411999999999996E-3</v>
      </c>
      <c r="BB22" s="272">
        <v>1.0476999999999999</v>
      </c>
      <c r="BC22" s="269">
        <v>0</v>
      </c>
      <c r="BD22" s="270">
        <v>3042.3</v>
      </c>
      <c r="BE22" s="270">
        <v>-1225.5</v>
      </c>
      <c r="BF22" s="270">
        <v>1614</v>
      </c>
      <c r="BG22" s="273">
        <v>2847.6</v>
      </c>
      <c r="BH22" s="260">
        <v>0</v>
      </c>
      <c r="BI22" s="263">
        <v>-1.3255024437306732E-11</v>
      </c>
      <c r="BJ22" s="263">
        <v>2.8292892627591423E-7</v>
      </c>
      <c r="BK22" s="263">
        <v>-2.0977849875585945E-3</v>
      </c>
      <c r="BL22" s="259">
        <v>5.3233417177768301</v>
      </c>
      <c r="BM22" s="260">
        <v>0</v>
      </c>
      <c r="BN22" s="263">
        <v>9.2087000000000005E-12</v>
      </c>
      <c r="BO22" s="263">
        <v>-1.9656000000000001E-7</v>
      </c>
      <c r="BP22" s="263">
        <v>1.4574E-3</v>
      </c>
      <c r="BQ22" s="264">
        <v>-2.6983000000000001</v>
      </c>
      <c r="BR22" s="260">
        <v>0</v>
      </c>
      <c r="BS22" s="257">
        <v>-0.31204415003257691</v>
      </c>
      <c r="BT22" s="257">
        <v>31.329916498187981</v>
      </c>
      <c r="BU22" s="257">
        <v>214.89413454756365</v>
      </c>
      <c r="BV22" s="259">
        <v>0</v>
      </c>
      <c r="BW22" s="260">
        <v>0</v>
      </c>
      <c r="BX22" s="257">
        <v>4.7950567379532902</v>
      </c>
      <c r="BY22" s="257">
        <v>15.409713903394783</v>
      </c>
      <c r="BZ22" s="257">
        <v>229.98407168271677</v>
      </c>
      <c r="CA22" s="259">
        <v>0</v>
      </c>
      <c r="CB22" s="269">
        <v>0</v>
      </c>
      <c r="CC22" s="270">
        <v>3042.3</v>
      </c>
      <c r="CD22" s="270">
        <v>-1225.5</v>
      </c>
      <c r="CE22" s="270">
        <v>1614</v>
      </c>
      <c r="CF22" s="273">
        <v>2847.6</v>
      </c>
    </row>
    <row r="23" spans="1:84" s="257" customFormat="1" x14ac:dyDescent="0.25">
      <c r="A23" s="279" t="s">
        <v>100</v>
      </c>
      <c r="B23" s="257" t="s">
        <v>42</v>
      </c>
      <c r="C23" s="257" t="s">
        <v>43</v>
      </c>
      <c r="D23" s="257" t="s">
        <v>55</v>
      </c>
      <c r="E23" s="257" t="s">
        <v>172</v>
      </c>
      <c r="F23" s="257" t="s">
        <v>171</v>
      </c>
      <c r="G23" s="257" t="s">
        <v>178</v>
      </c>
      <c r="H23" s="278" t="str">
        <f>Master_Table[[#This Row],[LES-Type]]&amp;"-"&amp;Master_Table[[#This Row],[Nominal CCT+CRI]]&amp;Master_Table[[#This Row],[Tech]]</f>
        <v>9mm-1830GDP-B</v>
      </c>
      <c r="I23"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BXRV-TR-1830G-10A0-B-23</v>
      </c>
      <c r="J23" s="257">
        <v>250</v>
      </c>
      <c r="K23" s="259">
        <v>480</v>
      </c>
      <c r="L23" s="260">
        <v>650</v>
      </c>
      <c r="M23" s="261">
        <f>Master_Table[[#This Row],[Typical Lumens]]/(Master_Table[[#This Row],[Typical Voltage]]*Master_Table[[#This Row],[Typical Current]]/1000)</f>
        <v>74.074074074074076</v>
      </c>
      <c r="N23" s="257">
        <v>35.1</v>
      </c>
      <c r="O23" s="257">
        <v>-12.8</v>
      </c>
      <c r="P23" s="262">
        <v>0</v>
      </c>
      <c r="Q23" s="263">
        <v>1.4157327176128433E-8</v>
      </c>
      <c r="R23" s="263">
        <v>-1.7559789937735926E-5</v>
      </c>
      <c r="S23" s="263">
        <v>1.8034269250141264E-2</v>
      </c>
      <c r="T23" s="264">
        <v>31.467711321446174</v>
      </c>
      <c r="U23" s="266">
        <v>0</v>
      </c>
      <c r="V23" s="266">
        <v>1.3018167003323026E-9</v>
      </c>
      <c r="W23" s="267">
        <v>-2.4563443007110993E-6</v>
      </c>
      <c r="X23" s="267">
        <v>4.5327225314070064E-3</v>
      </c>
      <c r="Y23" s="268">
        <v>0</v>
      </c>
      <c r="Z23" s="270">
        <v>0</v>
      </c>
      <c r="AA23" s="270">
        <v>-9.997063362637225E-9</v>
      </c>
      <c r="AB23" s="271">
        <v>-1.999412672527445E-6</v>
      </c>
      <c r="AC23" s="271">
        <v>-1.3995888707692115E-3</v>
      </c>
      <c r="AD23" s="271">
        <v>1.036395558804601</v>
      </c>
      <c r="AE23" s="269">
        <v>0</v>
      </c>
      <c r="AF23" s="270">
        <v>576</v>
      </c>
      <c r="AG23" s="270">
        <v>-1426.3</v>
      </c>
      <c r="AH23" s="270">
        <v>-349.71</v>
      </c>
      <c r="AI23" s="273">
        <v>3005.1</v>
      </c>
      <c r="AJ23" s="260">
        <v>1000</v>
      </c>
      <c r="AK23" s="261">
        <f>Master_Table[[#This Row],[Typical Lumens2]]/(Master_Table[[#This Row],[Typical Voltage2]]*Master_Table[[#This Row],[Typical Current]]/1000)</f>
        <v>113.96011396011396</v>
      </c>
      <c r="AL23" s="257">
        <v>35.1</v>
      </c>
      <c r="AM23" s="259">
        <v>-12.8</v>
      </c>
      <c r="AN23" s="262">
        <v>0</v>
      </c>
      <c r="AO23" s="263">
        <v>1.4157327176128433E-8</v>
      </c>
      <c r="AP23" s="263">
        <v>-1.7559789937735926E-5</v>
      </c>
      <c r="AQ23" s="263">
        <v>1.8034269250141264E-2</v>
      </c>
      <c r="AR23" s="264">
        <v>31.467711321446174</v>
      </c>
      <c r="AS23" s="265">
        <v>0</v>
      </c>
      <c r="AT23" s="266">
        <v>2.1465395519388609E-10</v>
      </c>
      <c r="AU23" s="267">
        <v>-1.5538942879132652E-6</v>
      </c>
      <c r="AV23" s="267">
        <v>4.3750576997786984E-3</v>
      </c>
      <c r="AW23" s="268">
        <v>0</v>
      </c>
      <c r="AX23" s="269">
        <v>0</v>
      </c>
      <c r="AY23" s="270">
        <v>-1.6503999999999997E-8</v>
      </c>
      <c r="AZ23" s="271">
        <v>3.8854999999999992E-7</v>
      </c>
      <c r="BA23" s="271">
        <v>-1.7411999999999996E-3</v>
      </c>
      <c r="BB23" s="272">
        <v>1.0476999999999999</v>
      </c>
      <c r="BC23" s="269">
        <v>0</v>
      </c>
      <c r="BD23" s="270">
        <v>-576</v>
      </c>
      <c r="BE23" s="270">
        <v>301.70999999999998</v>
      </c>
      <c r="BF23" s="270">
        <v>1474.3</v>
      </c>
      <c r="BG23" s="273">
        <v>1802.1</v>
      </c>
      <c r="BH23" s="260">
        <v>0</v>
      </c>
      <c r="BI23" s="263">
        <v>-5.068475843613823E-10</v>
      </c>
      <c r="BJ23" s="263">
        <v>3.3628590916526503E-6</v>
      </c>
      <c r="BK23" s="263">
        <v>-8.0146844475097838E-3</v>
      </c>
      <c r="BL23" s="259">
        <v>7.4740930012291145</v>
      </c>
      <c r="BM23" s="260">
        <v>0</v>
      </c>
      <c r="BN23" s="263">
        <v>5.1445000000000002E-10</v>
      </c>
      <c r="BO23" s="263">
        <v>-3.4133E-6</v>
      </c>
      <c r="BP23" s="263">
        <v>8.1349000000000005E-3</v>
      </c>
      <c r="BQ23" s="264">
        <v>-6.5861999999999998</v>
      </c>
      <c r="BR23" s="260">
        <v>0</v>
      </c>
      <c r="BS23" s="257">
        <v>-0.31734822938008145</v>
      </c>
      <c r="BT23" s="257">
        <v>31.862457688400109</v>
      </c>
      <c r="BU23" s="257">
        <v>218.54687260028666</v>
      </c>
      <c r="BV23" s="259">
        <v>0</v>
      </c>
      <c r="BW23" s="260">
        <v>0</v>
      </c>
      <c r="BX23" s="257">
        <v>4.7886421912319479</v>
      </c>
      <c r="BY23" s="257">
        <v>15.38909968854859</v>
      </c>
      <c r="BZ23" s="257">
        <v>229.67641242994992</v>
      </c>
      <c r="CA23" s="259">
        <v>0</v>
      </c>
      <c r="CB23" s="269">
        <v>0</v>
      </c>
      <c r="CC23" s="270">
        <v>-576</v>
      </c>
      <c r="CD23" s="270">
        <v>301.70999999999998</v>
      </c>
      <c r="CE23" s="270">
        <v>1474.3</v>
      </c>
      <c r="CF23" s="273">
        <v>1802.1</v>
      </c>
    </row>
    <row r="24" spans="1:84" s="94" customFormat="1" x14ac:dyDescent="0.25">
      <c r="A24" s="279" t="s">
        <v>100</v>
      </c>
      <c r="B24" s="257" t="s">
        <v>42</v>
      </c>
      <c r="C24" s="257" t="s">
        <v>43</v>
      </c>
      <c r="D24" s="257" t="s">
        <v>56</v>
      </c>
      <c r="E24" s="257" t="s">
        <v>172</v>
      </c>
      <c r="F24" s="257" t="s">
        <v>240</v>
      </c>
      <c r="G24" s="257" t="s">
        <v>241</v>
      </c>
      <c r="H24" s="278" t="str">
        <f>Master_Table[[#This Row],[LES-Type]]&amp;"-"&amp;Master_Table[[#This Row],[Nominal CCT+CRI]]&amp;Master_Table[[#This Row],[Tech]]</f>
        <v>9mm-1840GDP-B</v>
      </c>
      <c r="I24"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Row],[Generation]]&amp;"-25"</f>
        <v>BXRV-TR-1840G-10A0-B-25</v>
      </c>
      <c r="J24" s="257">
        <v>250</v>
      </c>
      <c r="K24" s="259">
        <v>480</v>
      </c>
      <c r="L24" s="93">
        <v>700</v>
      </c>
      <c r="M24" s="261">
        <f>Master_Table[[#This Row],[Typical Lumens]]/(Master_Table[[#This Row],[Typical Voltage]]*Master_Table[[#This Row],[Typical Current]]/1000)</f>
        <v>77.777777777777771</v>
      </c>
      <c r="N24" s="94">
        <v>36</v>
      </c>
      <c r="O24" s="257">
        <v>-12.8</v>
      </c>
      <c r="P24" s="262">
        <v>0</v>
      </c>
      <c r="Q24" s="263">
        <v>1.4157327176128433E-8</v>
      </c>
      <c r="R24" s="263">
        <v>-1.7559789937735926E-5</v>
      </c>
      <c r="S24" s="263">
        <v>1.8034269250141264E-2</v>
      </c>
      <c r="T24" s="264">
        <v>31.467711321446174</v>
      </c>
      <c r="U24" s="266">
        <v>0</v>
      </c>
      <c r="V24" s="266">
        <v>1.3018167003323026E-9</v>
      </c>
      <c r="W24" s="267">
        <v>-2.4563443007110993E-6</v>
      </c>
      <c r="X24" s="267">
        <v>4.5327225314070064E-3</v>
      </c>
      <c r="Y24" s="268">
        <v>0</v>
      </c>
      <c r="Z24" s="270">
        <v>0</v>
      </c>
      <c r="AA24" s="270">
        <v>-9.997063362637225E-9</v>
      </c>
      <c r="AB24" s="271">
        <v>-1.999412672527445E-6</v>
      </c>
      <c r="AC24" s="271">
        <v>-1.3995888707692115E-3</v>
      </c>
      <c r="AD24" s="271">
        <v>1.036395558804601</v>
      </c>
      <c r="AE24" s="269">
        <v>0</v>
      </c>
      <c r="AF24" s="270">
        <v>277.33</v>
      </c>
      <c r="AG24" s="270">
        <v>-962.29</v>
      </c>
      <c r="AH24" s="270">
        <v>-1515</v>
      </c>
      <c r="AI24" s="273">
        <v>4000.9</v>
      </c>
      <c r="AJ24" s="93">
        <v>1100</v>
      </c>
      <c r="AK24" s="261">
        <f>Master_Table[[#This Row],[Typical Lumens2]]/(Master_Table[[#This Row],[Typical Voltage2]]*Master_Table[[#This Row],[Typical Current]]/1000)</f>
        <v>122.22222222222223</v>
      </c>
      <c r="AL24" s="94">
        <v>36</v>
      </c>
      <c r="AM24" s="259">
        <v>-12.8</v>
      </c>
      <c r="AN24" s="262">
        <v>0</v>
      </c>
      <c r="AO24" s="263">
        <v>1.4157327176128433E-8</v>
      </c>
      <c r="AP24" s="263">
        <v>-1.7559789937735926E-5</v>
      </c>
      <c r="AQ24" s="263">
        <v>1.8034269250141264E-2</v>
      </c>
      <c r="AR24" s="264">
        <v>31.467711321446174</v>
      </c>
      <c r="AS24" s="265">
        <v>0</v>
      </c>
      <c r="AT24" s="266">
        <v>2.1465395519388609E-10</v>
      </c>
      <c r="AU24" s="267">
        <v>-1.5538942879132652E-6</v>
      </c>
      <c r="AV24" s="267">
        <v>4.3750576997786984E-3</v>
      </c>
      <c r="AW24" s="268">
        <v>0</v>
      </c>
      <c r="AX24" s="269">
        <v>0</v>
      </c>
      <c r="AY24" s="270">
        <v>-1.6503999999999997E-8</v>
      </c>
      <c r="AZ24" s="271">
        <v>3.8854999999999992E-7</v>
      </c>
      <c r="BA24" s="271">
        <v>-1.7411999999999996E-3</v>
      </c>
      <c r="BB24" s="272">
        <v>1.0476999999999999</v>
      </c>
      <c r="BC24" s="269">
        <v>0</v>
      </c>
      <c r="BD24" s="270">
        <v>-2.7199999999999998E-2</v>
      </c>
      <c r="BE24" s="270">
        <v>37.713999999999999</v>
      </c>
      <c r="BF24" s="270">
        <v>2435.3000000000002</v>
      </c>
      <c r="BG24" s="273">
        <v>1837.8</v>
      </c>
      <c r="BH24" s="260">
        <v>0</v>
      </c>
      <c r="BI24" s="263">
        <v>-2.3379143978853158E-11</v>
      </c>
      <c r="BJ24" s="263">
        <v>1.5306565289819192E-7</v>
      </c>
      <c r="BK24" s="263">
        <v>-7.2586924275767472E-4</v>
      </c>
      <c r="BL24" s="259">
        <v>1.9517603165300583</v>
      </c>
      <c r="BM24" s="260">
        <v>0</v>
      </c>
      <c r="BN24" s="263">
        <v>2.3279E-11</v>
      </c>
      <c r="BO24" s="263">
        <v>-1.5241E-7</v>
      </c>
      <c r="BP24" s="263">
        <v>7.2276000000000003E-4</v>
      </c>
      <c r="BQ24" s="264">
        <v>-0.94343999999999995</v>
      </c>
      <c r="BR24" s="260">
        <v>0</v>
      </c>
      <c r="BS24" s="257">
        <v>-0.31734822938008145</v>
      </c>
      <c r="BT24" s="257">
        <v>31.862457688400109</v>
      </c>
      <c r="BU24" s="257">
        <v>218.54687260028666</v>
      </c>
      <c r="BV24" s="259">
        <v>0</v>
      </c>
      <c r="BW24" s="359">
        <v>0</v>
      </c>
      <c r="BX24" s="304">
        <v>4.7886421912319479</v>
      </c>
      <c r="BY24" s="304">
        <v>15.38909968854859</v>
      </c>
      <c r="BZ24" s="304">
        <v>229.67641242994992</v>
      </c>
      <c r="CA24" s="357">
        <v>0</v>
      </c>
      <c r="CB24" s="269">
        <v>0</v>
      </c>
      <c r="CC24" s="270">
        <v>-2.7199999999999998E-2</v>
      </c>
      <c r="CD24" s="270">
        <v>37.713999999999999</v>
      </c>
      <c r="CE24" s="270">
        <v>2435.3000000000002</v>
      </c>
      <c r="CF24" s="273">
        <v>1837.8</v>
      </c>
    </row>
    <row r="25" spans="1:84" s="94" customFormat="1" ht="16.5" thickBot="1" x14ac:dyDescent="0.3">
      <c r="A25" s="144"/>
      <c r="B25" s="97"/>
      <c r="C25" s="97"/>
      <c r="D25" s="97"/>
      <c r="F25" s="97"/>
      <c r="G25" s="97"/>
      <c r="H25" s="148"/>
      <c r="I25" s="148"/>
      <c r="K25" s="98"/>
      <c r="L25" s="96"/>
      <c r="M25" s="151"/>
      <c r="N25" s="97"/>
      <c r="O25" s="97"/>
      <c r="P25" s="155"/>
      <c r="Q25" s="156"/>
      <c r="R25" s="156"/>
      <c r="S25" s="156"/>
      <c r="T25" s="157"/>
      <c r="U25" s="161"/>
      <c r="V25" s="161"/>
      <c r="W25" s="162"/>
      <c r="X25" s="162"/>
      <c r="Y25" s="163"/>
      <c r="Z25" s="91"/>
      <c r="AA25" s="91"/>
      <c r="AB25" s="92"/>
      <c r="AC25" s="92"/>
      <c r="AD25" s="92"/>
      <c r="AE25" s="164"/>
      <c r="AF25" s="91"/>
      <c r="AG25" s="91"/>
      <c r="AH25" s="91"/>
      <c r="AI25" s="170"/>
      <c r="AJ25" s="96"/>
      <c r="AK25" s="151"/>
      <c r="AL25" s="97"/>
      <c r="AM25" s="98"/>
      <c r="AN25" s="153"/>
      <c r="AO25" s="103"/>
      <c r="AP25" s="103"/>
      <c r="AQ25" s="103"/>
      <c r="AR25" s="154"/>
      <c r="AS25" s="160"/>
      <c r="AT25" s="161"/>
      <c r="AU25" s="162"/>
      <c r="AV25" s="162"/>
      <c r="AW25" s="163"/>
      <c r="AX25" s="166"/>
      <c r="AY25" s="167"/>
      <c r="AZ25" s="168"/>
      <c r="BA25" s="168"/>
      <c r="BB25" s="169"/>
      <c r="BC25" s="166"/>
      <c r="BD25" s="167"/>
      <c r="BE25" s="167"/>
      <c r="BF25" s="167"/>
      <c r="BG25" s="171"/>
      <c r="BH25" s="96"/>
      <c r="BI25" s="156"/>
      <c r="BJ25" s="156"/>
      <c r="BK25" s="156"/>
      <c r="BL25" s="98"/>
      <c r="BM25" s="96"/>
      <c r="BN25" s="156"/>
      <c r="BO25" s="156"/>
      <c r="BP25" s="156"/>
      <c r="BQ25" s="157"/>
      <c r="BR25" s="96"/>
      <c r="BS25" s="97"/>
      <c r="BT25" s="97"/>
      <c r="BU25" s="97"/>
      <c r="BV25" s="98"/>
      <c r="BW25" s="96"/>
      <c r="BX25" s="97"/>
      <c r="BY25" s="97"/>
      <c r="BZ25" s="97"/>
      <c r="CA25" s="98"/>
      <c r="CB25" s="166"/>
      <c r="CC25" s="167"/>
      <c r="CD25" s="167"/>
      <c r="CE25" s="167"/>
      <c r="CF25" s="171"/>
    </row>
    <row r="26" spans="1:84" s="254" customFormat="1" x14ac:dyDescent="0.25">
      <c r="A26" s="255" t="s">
        <v>101</v>
      </c>
      <c r="B26" s="233" t="s">
        <v>42</v>
      </c>
      <c r="C26" s="233" t="s">
        <v>43</v>
      </c>
      <c r="D26" s="233" t="s">
        <v>41</v>
      </c>
      <c r="E26" s="234" t="s">
        <v>51</v>
      </c>
      <c r="F26" s="233" t="s">
        <v>18</v>
      </c>
      <c r="G26" s="233" t="s">
        <v>106</v>
      </c>
      <c r="H26" s="233" t="str">
        <f>Master_Table[[#This Row],[LES-Type]]&amp;"-"&amp;Master_Table[[#This Row],[Nominal CCT+CRI]]&amp;Master_Table[[#This Row],[Tech]]</f>
        <v>13mm-2750GDP</v>
      </c>
      <c r="I26" s="233"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BXRV-TR-2750G-20A0-A-23</v>
      </c>
      <c r="J26" s="235">
        <v>500</v>
      </c>
      <c r="K26" s="236">
        <v>700</v>
      </c>
      <c r="L26" s="237">
        <v>1980</v>
      </c>
      <c r="M26" s="238">
        <f>Master_Table[[#This Row],[Typical Lumens]]/(Master_Table[[#This Row],[Typical Voltage]]*Master_Table[[#This Row],[Typical Current]]/1000)</f>
        <v>112.49999999999999</v>
      </c>
      <c r="N26" s="239">
        <v>35.200000000000003</v>
      </c>
      <c r="O26" s="236">
        <v>-12.1</v>
      </c>
      <c r="P26" s="240">
        <v>0</v>
      </c>
      <c r="Q26" s="241">
        <v>6.3134022010016826E-9</v>
      </c>
      <c r="R26" s="241">
        <v>-1.0989357211375907E-5</v>
      </c>
      <c r="S26" s="241">
        <v>1.436062905044014E-2</v>
      </c>
      <c r="T26" s="242">
        <v>29.9778495024987</v>
      </c>
      <c r="U26" s="243">
        <v>0</v>
      </c>
      <c r="V26" s="244">
        <v>6.9192563587878019E-11</v>
      </c>
      <c r="W26" s="233">
        <v>-4.9616379529983745E-7</v>
      </c>
      <c r="X26" s="233">
        <v>2.230783756752949E-3</v>
      </c>
      <c r="Y26" s="245">
        <v>0</v>
      </c>
      <c r="Z26" s="246">
        <v>0</v>
      </c>
      <c r="AA26" s="247">
        <v>-9.997063362637225E-9</v>
      </c>
      <c r="AB26" s="239">
        <v>-1.999412672527445E-6</v>
      </c>
      <c r="AC26" s="239">
        <v>-1.3995888707692115E-3</v>
      </c>
      <c r="AD26" s="236">
        <v>1.036395558804601</v>
      </c>
      <c r="AE26" s="247">
        <v>0</v>
      </c>
      <c r="AF26" s="247">
        <v>-1162.7</v>
      </c>
      <c r="AG26" s="247">
        <v>2808</v>
      </c>
      <c r="AH26" s="247">
        <v>-3945.3</v>
      </c>
      <c r="AI26" s="248">
        <v>4997.6000000000004</v>
      </c>
      <c r="AJ26" s="237">
        <v>2230</v>
      </c>
      <c r="AK26" s="238">
        <f>Master_Table[[#This Row],[Typical Lumens2]]/(Master_Table[[#This Row],[Typical Voltage2]]*Master_Table[[#This Row],[Typical Current]]/1000)</f>
        <v>122.8650137741047</v>
      </c>
      <c r="AL26" s="239">
        <v>36.299999999999997</v>
      </c>
      <c r="AM26" s="236">
        <v>-12.5</v>
      </c>
      <c r="AN26" s="240">
        <v>0</v>
      </c>
      <c r="AO26" s="241">
        <v>6.5106960197829841E-9</v>
      </c>
      <c r="AP26" s="241">
        <v>-1.1332774624231401E-5</v>
      </c>
      <c r="AQ26" s="241">
        <v>1.4809398708266391E-2</v>
      </c>
      <c r="AR26" s="242">
        <v>30.914657299451779</v>
      </c>
      <c r="AS26" s="244">
        <v>0</v>
      </c>
      <c r="AT26" s="244">
        <v>7.0624563032807148E-11</v>
      </c>
      <c r="AU26" s="233">
        <v>-5.2296323555067057E-7</v>
      </c>
      <c r="AV26" s="233">
        <v>2.2438256768235166E-3</v>
      </c>
      <c r="AW26" s="233">
        <v>-9.9903191310040802E-8</v>
      </c>
      <c r="AX26" s="269">
        <v>0</v>
      </c>
      <c r="AY26" s="270">
        <v>-6.9962176698222528E-9</v>
      </c>
      <c r="AZ26" s="271">
        <v>-1.9989193342349293E-6</v>
      </c>
      <c r="BA26" s="271">
        <v>-1.6990814340996899E-3</v>
      </c>
      <c r="BB26" s="272">
        <v>1.0438356763374801</v>
      </c>
      <c r="BC26" s="270">
        <v>0</v>
      </c>
      <c r="BD26" s="270">
        <v>1162.7</v>
      </c>
      <c r="BE26" s="270">
        <v>-680</v>
      </c>
      <c r="BF26" s="270">
        <v>1817.3</v>
      </c>
      <c r="BG26" s="270">
        <v>2697.6</v>
      </c>
      <c r="BH26" s="249">
        <v>0</v>
      </c>
      <c r="BI26" s="250">
        <v>8.4701000000000004E-12</v>
      </c>
      <c r="BJ26" s="250">
        <v>-6.9332E-9</v>
      </c>
      <c r="BK26" s="250">
        <v>-7.6911000000000004E-4</v>
      </c>
      <c r="BL26" s="251">
        <v>2.96</v>
      </c>
      <c r="BM26" s="249">
        <v>0</v>
      </c>
      <c r="BN26" s="250">
        <v>-8.4701000000000004E-12</v>
      </c>
      <c r="BO26" s="250">
        <v>6.9351999999999998E-9</v>
      </c>
      <c r="BP26" s="250">
        <v>7.6911000000000004E-4</v>
      </c>
      <c r="BQ26" s="251">
        <v>-1.96</v>
      </c>
      <c r="BR26" s="249">
        <v>0</v>
      </c>
      <c r="BS26" s="253">
        <v>9.9023890072546941</v>
      </c>
      <c r="BT26" s="250">
        <v>40.116667853526586</v>
      </c>
      <c r="BU26" s="250">
        <v>449.65649506180227</v>
      </c>
      <c r="BV26" s="251">
        <v>0</v>
      </c>
      <c r="BW26" s="249">
        <v>0</v>
      </c>
      <c r="BX26" s="250">
        <v>13.126470051537975</v>
      </c>
      <c r="BY26" s="250">
        <v>37.54855503068508</v>
      </c>
      <c r="BZ26" s="250">
        <v>449.23055182483802</v>
      </c>
      <c r="CA26" s="251">
        <v>0</v>
      </c>
      <c r="CB26" s="247">
        <v>0</v>
      </c>
      <c r="CC26" s="247">
        <v>1162.7</v>
      </c>
      <c r="CD26" s="247">
        <v>-680</v>
      </c>
      <c r="CE26" s="247">
        <v>1817.3</v>
      </c>
      <c r="CF26" s="248">
        <v>2697.6</v>
      </c>
    </row>
    <row r="27" spans="1:84" s="257" customFormat="1" x14ac:dyDescent="0.25">
      <c r="A27" s="256" t="s">
        <v>101</v>
      </c>
      <c r="B27" s="257" t="s">
        <v>42</v>
      </c>
      <c r="C27" s="257" t="s">
        <v>43</v>
      </c>
      <c r="D27" s="257" t="s">
        <v>49</v>
      </c>
      <c r="E27" s="257" t="s">
        <v>51</v>
      </c>
      <c r="F27" s="257" t="s">
        <v>18</v>
      </c>
      <c r="G27" s="257" t="s">
        <v>106</v>
      </c>
      <c r="H27" s="257" t="str">
        <f>Master_Table[[#This Row],[LES-Type]]&amp;"-"&amp;Master_Table[[#This Row],[Nominal CCT+CRI]]&amp;Master_Table[[#This Row],[Tech]]</f>
        <v>13mm-2765GDP</v>
      </c>
      <c r="I27" s="25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BXRV-TR-2765G-20A0-A-23</v>
      </c>
      <c r="J27" s="257">
        <v>500</v>
      </c>
      <c r="K27" s="259">
        <v>700</v>
      </c>
      <c r="L27" s="260">
        <v>1980</v>
      </c>
      <c r="M27" s="261">
        <f>Master_Table[[#This Row],[Typical Lumens]]/(Master_Table[[#This Row],[Typical Voltage]]*Master_Table[[#This Row],[Typical Current]]/1000)</f>
        <v>112.49999999999999</v>
      </c>
      <c r="N27" s="257">
        <v>35.200000000000003</v>
      </c>
      <c r="O27" s="259">
        <v>-12.1</v>
      </c>
      <c r="P27" s="262">
        <v>0</v>
      </c>
      <c r="Q27" s="263">
        <v>6.3134022010016826E-9</v>
      </c>
      <c r="R27" s="263">
        <v>-1.0989357211375907E-5</v>
      </c>
      <c r="S27" s="263">
        <v>1.436062905044014E-2</v>
      </c>
      <c r="T27" s="264">
        <v>29.9778495024987</v>
      </c>
      <c r="U27" s="265">
        <v>0</v>
      </c>
      <c r="V27" s="266">
        <v>6.9192563587878019E-11</v>
      </c>
      <c r="W27" s="267">
        <v>-4.9616379529983745E-7</v>
      </c>
      <c r="X27" s="267">
        <v>2.230783756752949E-3</v>
      </c>
      <c r="Y27" s="268">
        <v>0</v>
      </c>
      <c r="Z27" s="269">
        <v>0</v>
      </c>
      <c r="AA27" s="270">
        <v>-9.997063362637225E-9</v>
      </c>
      <c r="AB27" s="271">
        <v>-1.999412672527445E-6</v>
      </c>
      <c r="AC27" s="271">
        <v>-1.3995888707692115E-3</v>
      </c>
      <c r="AD27" s="272">
        <v>1.036395558804601</v>
      </c>
      <c r="AE27" s="270">
        <v>0</v>
      </c>
      <c r="AF27" s="270">
        <v>-5439.9</v>
      </c>
      <c r="AG27" s="270">
        <v>11628</v>
      </c>
      <c r="AH27" s="270">
        <v>-9982.9</v>
      </c>
      <c r="AI27" s="273">
        <v>6487.6</v>
      </c>
      <c r="AJ27" s="260">
        <v>2230</v>
      </c>
      <c r="AK27" s="261">
        <f>Master_Table[[#This Row],[Typical Lumens2]]/(Master_Table[[#This Row],[Typical Voltage2]]*Master_Table[[#This Row],[Typical Current]]/1000)</f>
        <v>122.8650137741047</v>
      </c>
      <c r="AL27" s="257">
        <v>36.299999999999997</v>
      </c>
      <c r="AM27" s="259">
        <v>-12.5</v>
      </c>
      <c r="AN27" s="262">
        <v>0</v>
      </c>
      <c r="AO27" s="263">
        <v>6.5106960197829841E-9</v>
      </c>
      <c r="AP27" s="263">
        <v>-1.1332774624231401E-5</v>
      </c>
      <c r="AQ27" s="263">
        <v>1.4809398708266391E-2</v>
      </c>
      <c r="AR27" s="264">
        <v>30.914657299451779</v>
      </c>
      <c r="AS27" s="266">
        <v>0</v>
      </c>
      <c r="AT27" s="266">
        <v>7.0624563032807148E-11</v>
      </c>
      <c r="AU27" s="267">
        <v>-5.2296323555067057E-7</v>
      </c>
      <c r="AV27" s="267">
        <v>2.2438256768235166E-3</v>
      </c>
      <c r="AW27" s="267">
        <v>-9.9903191310040802E-8</v>
      </c>
      <c r="AX27" s="269">
        <v>0</v>
      </c>
      <c r="AY27" s="270">
        <v>-6.9962176698222528E-9</v>
      </c>
      <c r="AZ27" s="271">
        <v>-1.9989193342349293E-6</v>
      </c>
      <c r="BA27" s="271">
        <v>-1.6990814340996899E-3</v>
      </c>
      <c r="BB27" s="272">
        <v>1.0438356763374801</v>
      </c>
      <c r="BC27" s="270">
        <v>0</v>
      </c>
      <c r="BD27" s="270">
        <v>5439.9</v>
      </c>
      <c r="BE27" s="270">
        <v>-4691.3999999999996</v>
      </c>
      <c r="BF27" s="270">
        <v>3045.8</v>
      </c>
      <c r="BG27" s="270">
        <v>2693.2</v>
      </c>
      <c r="BH27" s="260">
        <v>0</v>
      </c>
      <c r="BI27" s="263">
        <v>-8.7960505630037875E-12</v>
      </c>
      <c r="BJ27" s="263">
        <v>1.877519843912848E-7</v>
      </c>
      <c r="BK27" s="263">
        <v>-1.3920927047815347E-3</v>
      </c>
      <c r="BL27" s="259">
        <v>3.5325761287865722</v>
      </c>
      <c r="BM27" s="260">
        <v>0</v>
      </c>
      <c r="BN27" s="263">
        <v>9.2087000000000005E-12</v>
      </c>
      <c r="BO27" s="263">
        <v>-1.9656000000000001E-7</v>
      </c>
      <c r="BP27" s="263">
        <v>1.4574E-3</v>
      </c>
      <c r="BQ27" s="259">
        <v>-2.6983000000000001</v>
      </c>
      <c r="BR27" s="260">
        <v>0</v>
      </c>
      <c r="BS27" s="257">
        <v>9.9023890072546941</v>
      </c>
      <c r="BT27" s="257">
        <v>40.116667853526586</v>
      </c>
      <c r="BU27" s="257">
        <v>449.65649506180227</v>
      </c>
      <c r="BV27" s="259">
        <v>0</v>
      </c>
      <c r="BW27" s="260">
        <v>0</v>
      </c>
      <c r="BX27" s="257">
        <v>13.126470051537975</v>
      </c>
      <c r="BY27" s="257">
        <v>37.54855503068508</v>
      </c>
      <c r="BZ27" s="257">
        <v>449.23055182483802</v>
      </c>
      <c r="CA27" s="259">
        <v>0</v>
      </c>
      <c r="CB27" s="270">
        <v>0</v>
      </c>
      <c r="CC27" s="270">
        <v>5439.9</v>
      </c>
      <c r="CD27" s="270">
        <v>-4691.3999999999996</v>
      </c>
      <c r="CE27" s="270">
        <v>3045.8</v>
      </c>
      <c r="CF27" s="273">
        <v>2693.2</v>
      </c>
    </row>
    <row r="28" spans="1:84" s="94" customFormat="1" x14ac:dyDescent="0.25">
      <c r="A28" s="356" t="s">
        <v>101</v>
      </c>
      <c r="B28" s="304" t="s">
        <v>42</v>
      </c>
      <c r="C28" s="304" t="s">
        <v>43</v>
      </c>
      <c r="D28" s="304" t="s">
        <v>238</v>
      </c>
      <c r="E28" s="304" t="s">
        <v>51</v>
      </c>
      <c r="F28" s="304" t="s">
        <v>18</v>
      </c>
      <c r="G28" s="304" t="s">
        <v>106</v>
      </c>
      <c r="H28" s="304" t="str">
        <f>Master_Table[[#This Row],[LES-Type]]&amp;"-"&amp;Master_Table[[#This Row],[Nominal CCT+CRI]]&amp;Master_Table[[#This Row],[Tech]]</f>
        <v>13mm-2750SDP</v>
      </c>
      <c r="I28" s="30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BXRV-TR-2750S-20A0-A-23</v>
      </c>
      <c r="J28" s="304">
        <v>500</v>
      </c>
      <c r="K28" s="357">
        <v>700</v>
      </c>
      <c r="L28" s="93">
        <v>1697</v>
      </c>
      <c r="M28" s="261">
        <f>Master_Table[[#This Row],[Typical Lumens]]/(Master_Table[[#This Row],[Typical Voltage]]*Master_Table[[#This Row],[Typical Current]]/1000)</f>
        <v>96.420454545454533</v>
      </c>
      <c r="N28" s="257">
        <v>35.200000000000003</v>
      </c>
      <c r="O28" s="259">
        <v>-12.1</v>
      </c>
      <c r="P28" s="262">
        <v>0</v>
      </c>
      <c r="Q28" s="263">
        <v>6.3134022010016826E-9</v>
      </c>
      <c r="R28" s="263">
        <v>-1.0989357211375907E-5</v>
      </c>
      <c r="S28" s="263">
        <v>1.436062905044014E-2</v>
      </c>
      <c r="T28" s="264">
        <v>29.9778495024987</v>
      </c>
      <c r="U28" s="265">
        <v>0</v>
      </c>
      <c r="V28" s="266">
        <v>6.9192563587878019E-11</v>
      </c>
      <c r="W28" s="267">
        <v>-4.9616379529983745E-7</v>
      </c>
      <c r="X28" s="267">
        <v>2.230783756752949E-3</v>
      </c>
      <c r="Y28" s="268">
        <v>0</v>
      </c>
      <c r="Z28" s="269">
        <v>0</v>
      </c>
      <c r="AA28" s="270">
        <v>-9.997063362637225E-9</v>
      </c>
      <c r="AB28" s="271">
        <v>-1.999412672527445E-6</v>
      </c>
      <c r="AC28" s="271">
        <v>-1.3995888707692115E-3</v>
      </c>
      <c r="AD28" s="272">
        <v>1.036395558804601</v>
      </c>
      <c r="AE28" s="269">
        <v>0</v>
      </c>
      <c r="AF28" s="270">
        <v>-213.33</v>
      </c>
      <c r="AG28" s="270">
        <v>27.428999999999998</v>
      </c>
      <c r="AH28" s="270">
        <v>-2114.1</v>
      </c>
      <c r="AI28" s="273">
        <v>5001</v>
      </c>
      <c r="AJ28" s="93">
        <v>1958</v>
      </c>
      <c r="AK28" s="261">
        <f>Master_Table[[#This Row],[Typical Lumens2]]/(Master_Table[[#This Row],[Typical Voltage2]]*Master_Table[[#This Row],[Typical Current]]/1000)</f>
        <v>107.87878787878789</v>
      </c>
      <c r="AL28" s="257">
        <v>36.299999999999997</v>
      </c>
      <c r="AM28" s="259">
        <v>-12.5</v>
      </c>
      <c r="AN28" s="262">
        <v>0</v>
      </c>
      <c r="AO28" s="263">
        <v>6.5106960197829841E-9</v>
      </c>
      <c r="AP28" s="263">
        <v>-1.1332774624231401E-5</v>
      </c>
      <c r="AQ28" s="263">
        <v>1.4809398708266391E-2</v>
      </c>
      <c r="AR28" s="264">
        <v>30.914657299451779</v>
      </c>
      <c r="AS28" s="266">
        <v>0</v>
      </c>
      <c r="AT28" s="266">
        <v>7.0624563032807148E-11</v>
      </c>
      <c r="AU28" s="267">
        <v>-5.2296323555067057E-7</v>
      </c>
      <c r="AV28" s="267">
        <v>2.2438256768235166E-3</v>
      </c>
      <c r="AW28" s="267">
        <v>-9.9903191310040802E-8</v>
      </c>
      <c r="AX28" s="269">
        <v>0</v>
      </c>
      <c r="AY28" s="270">
        <v>-6.9962176698222528E-9</v>
      </c>
      <c r="AZ28" s="271">
        <v>-1.9989193342349293E-6</v>
      </c>
      <c r="BA28" s="271">
        <v>-1.6990814340996899E-3</v>
      </c>
      <c r="BB28" s="272">
        <v>1.0438356763374801</v>
      </c>
      <c r="BC28" s="269">
        <v>0</v>
      </c>
      <c r="BD28" s="270">
        <v>-208</v>
      </c>
      <c r="BE28" s="270">
        <v>195.43</v>
      </c>
      <c r="BF28" s="270">
        <v>2233.6</v>
      </c>
      <c r="BG28" s="273">
        <v>2777.9</v>
      </c>
      <c r="BH28" s="260">
        <v>0</v>
      </c>
      <c r="BI28" s="263">
        <v>5.1361610246156171E-12</v>
      </c>
      <c r="BJ28" s="263">
        <v>-8.370754744191012E-8</v>
      </c>
      <c r="BK28" s="263">
        <v>-2.7462394021744495E-5</v>
      </c>
      <c r="BL28" s="259">
        <v>1.5884578291099047</v>
      </c>
      <c r="BM28" s="260">
        <v>0</v>
      </c>
      <c r="BN28" s="263">
        <v>-5.1114000000000002E-12</v>
      </c>
      <c r="BO28" s="263">
        <v>8.3304000000000003E-8</v>
      </c>
      <c r="BP28" s="263">
        <v>2.7330000000000001E-5</v>
      </c>
      <c r="BQ28" s="264">
        <v>-0.58077999999999996</v>
      </c>
      <c r="BR28" s="260">
        <v>0</v>
      </c>
      <c r="BS28" s="257">
        <v>9.9023890072546941</v>
      </c>
      <c r="BT28" s="257">
        <v>40.116667853526586</v>
      </c>
      <c r="BU28" s="257">
        <v>449.65649506180227</v>
      </c>
      <c r="BV28" s="259">
        <v>0</v>
      </c>
      <c r="BW28" s="260">
        <v>0</v>
      </c>
      <c r="BX28" s="257">
        <v>13.126470051537975</v>
      </c>
      <c r="BY28" s="257">
        <v>37.54855503068508</v>
      </c>
      <c r="BZ28" s="257">
        <v>449.23055182483802</v>
      </c>
      <c r="CA28" s="259">
        <v>0</v>
      </c>
      <c r="CB28" s="269">
        <v>0</v>
      </c>
      <c r="CC28" s="270">
        <v>-208</v>
      </c>
      <c r="CD28" s="270">
        <v>195.43</v>
      </c>
      <c r="CE28" s="270">
        <v>2233.6</v>
      </c>
      <c r="CF28" s="273">
        <v>2777.9</v>
      </c>
    </row>
    <row r="29" spans="1:84" s="94" customFormat="1" x14ac:dyDescent="0.25">
      <c r="A29" s="358" t="s">
        <v>101</v>
      </c>
      <c r="B29" s="304" t="s">
        <v>42</v>
      </c>
      <c r="C29" s="304" t="s">
        <v>43</v>
      </c>
      <c r="D29" s="304" t="s">
        <v>239</v>
      </c>
      <c r="E29" s="304" t="s">
        <v>51</v>
      </c>
      <c r="F29" s="304" t="s">
        <v>18</v>
      </c>
      <c r="G29" s="304" t="s">
        <v>106</v>
      </c>
      <c r="H29" s="304" t="str">
        <f>Master_Table[[#This Row],[LES-Type]]&amp;"-"&amp;Master_Table[[#This Row],[Nominal CCT+CRI]]&amp;Master_Table[[#This Row],[Tech]]</f>
        <v>13mm-2765SDP</v>
      </c>
      <c r="I29" s="30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BXRV-TR-2765S-20A0-A-23</v>
      </c>
      <c r="J29" s="304">
        <v>500</v>
      </c>
      <c r="K29" s="357">
        <v>700</v>
      </c>
      <c r="L29" s="93">
        <v>1723</v>
      </c>
      <c r="M29" s="261">
        <f>Master_Table[[#This Row],[Typical Lumens]]/(Master_Table[[#This Row],[Typical Voltage]]*Master_Table[[#This Row],[Typical Current]]/1000)</f>
        <v>97.897727272727266</v>
      </c>
      <c r="N29" s="257">
        <v>35.200000000000003</v>
      </c>
      <c r="O29" s="259">
        <v>-12.1</v>
      </c>
      <c r="P29" s="262">
        <v>0</v>
      </c>
      <c r="Q29" s="263">
        <v>6.3134022010016826E-9</v>
      </c>
      <c r="R29" s="263">
        <v>-1.0989357211375907E-5</v>
      </c>
      <c r="S29" s="263">
        <v>1.436062905044014E-2</v>
      </c>
      <c r="T29" s="264">
        <v>29.9778495024987</v>
      </c>
      <c r="U29" s="265">
        <v>0</v>
      </c>
      <c r="V29" s="266">
        <v>6.9192563587878019E-11</v>
      </c>
      <c r="W29" s="267">
        <v>-4.9616379529983745E-7</v>
      </c>
      <c r="X29" s="267">
        <v>2.230783756752949E-3</v>
      </c>
      <c r="Y29" s="268">
        <v>0</v>
      </c>
      <c r="Z29" s="269">
        <v>0</v>
      </c>
      <c r="AA29" s="270">
        <v>-9.997063362637225E-9</v>
      </c>
      <c r="AB29" s="271">
        <v>-1.999412672527445E-6</v>
      </c>
      <c r="AC29" s="271">
        <v>-1.3995888707692115E-3</v>
      </c>
      <c r="AD29" s="272">
        <v>1.036395558804601</v>
      </c>
      <c r="AE29" s="269">
        <v>0</v>
      </c>
      <c r="AF29" s="270">
        <v>-350.67</v>
      </c>
      <c r="AG29" s="270">
        <v>2166.4</v>
      </c>
      <c r="AH29" s="270">
        <v>-5615</v>
      </c>
      <c r="AI29" s="273">
        <v>6509.6</v>
      </c>
      <c r="AJ29" s="93">
        <v>2001</v>
      </c>
      <c r="AK29" s="261">
        <f>Master_Table[[#This Row],[Typical Lumens2]]/(Master_Table[[#This Row],[Typical Voltage2]]*Master_Table[[#This Row],[Typical Current]]/1000)</f>
        <v>110.24793388429752</v>
      </c>
      <c r="AL29" s="257">
        <v>36.299999999999997</v>
      </c>
      <c r="AM29" s="259">
        <v>-12.5</v>
      </c>
      <c r="AN29" s="262">
        <v>0</v>
      </c>
      <c r="AO29" s="263">
        <v>6.5106960197829841E-9</v>
      </c>
      <c r="AP29" s="263">
        <v>-1.1332774624231401E-5</v>
      </c>
      <c r="AQ29" s="263">
        <v>1.4809398708266391E-2</v>
      </c>
      <c r="AR29" s="264">
        <v>30.914657299451779</v>
      </c>
      <c r="AS29" s="266">
        <v>0</v>
      </c>
      <c r="AT29" s="266">
        <v>7.0624563032807148E-11</v>
      </c>
      <c r="AU29" s="267">
        <v>-5.2296323555067057E-7</v>
      </c>
      <c r="AV29" s="267">
        <v>2.2438256768235166E-3</v>
      </c>
      <c r="AW29" s="267">
        <v>-9.9903191310040802E-8</v>
      </c>
      <c r="AX29" s="269">
        <v>0</v>
      </c>
      <c r="AY29" s="270">
        <v>-6.9962176698222528E-9</v>
      </c>
      <c r="AZ29" s="271">
        <v>-1.9989193342349293E-6</v>
      </c>
      <c r="BA29" s="271">
        <v>-1.6990814340996899E-3</v>
      </c>
      <c r="BB29" s="272">
        <v>1.0438356763374801</v>
      </c>
      <c r="BC29" s="269">
        <v>0</v>
      </c>
      <c r="BD29" s="270">
        <v>3042.3</v>
      </c>
      <c r="BE29" s="270">
        <v>-1225.5</v>
      </c>
      <c r="BF29" s="270">
        <v>1614</v>
      </c>
      <c r="BG29" s="273">
        <v>2847.6</v>
      </c>
      <c r="BH29" s="260">
        <v>0</v>
      </c>
      <c r="BI29" s="263">
        <v>-1.3255024437306732E-11</v>
      </c>
      <c r="BJ29" s="263">
        <v>2.8292892627591423E-7</v>
      </c>
      <c r="BK29" s="263">
        <v>-2.0977849875585945E-3</v>
      </c>
      <c r="BL29" s="259">
        <v>5.3233417177768301</v>
      </c>
      <c r="BM29" s="260">
        <v>0</v>
      </c>
      <c r="BN29" s="263">
        <v>9.2087000000000005E-12</v>
      </c>
      <c r="BO29" s="263">
        <v>-1.9656000000000001E-7</v>
      </c>
      <c r="BP29" s="263">
        <v>1.4574E-3</v>
      </c>
      <c r="BQ29" s="264">
        <v>-2.6983000000000001</v>
      </c>
      <c r="BR29" s="260">
        <v>0</v>
      </c>
      <c r="BS29" s="257">
        <v>9.9023890072546941</v>
      </c>
      <c r="BT29" s="257">
        <v>40.116667853526586</v>
      </c>
      <c r="BU29" s="257">
        <v>449.65649506180227</v>
      </c>
      <c r="BV29" s="259">
        <v>0</v>
      </c>
      <c r="BW29" s="260">
        <v>0</v>
      </c>
      <c r="BX29" s="257">
        <v>13.126470051537975</v>
      </c>
      <c r="BY29" s="257">
        <v>37.54855503068508</v>
      </c>
      <c r="BZ29" s="257">
        <v>449.23055182483802</v>
      </c>
      <c r="CA29" s="259">
        <v>0</v>
      </c>
      <c r="CB29" s="269">
        <v>0</v>
      </c>
      <c r="CC29" s="270">
        <v>3042.3</v>
      </c>
      <c r="CD29" s="270">
        <v>-1225.5</v>
      </c>
      <c r="CE29" s="270">
        <v>1614</v>
      </c>
      <c r="CF29" s="273">
        <v>2847.6</v>
      </c>
    </row>
    <row r="30" spans="1:84" s="257" customFormat="1" x14ac:dyDescent="0.25">
      <c r="A30" s="279" t="s">
        <v>101</v>
      </c>
      <c r="B30" s="257" t="s">
        <v>42</v>
      </c>
      <c r="C30" s="257" t="s">
        <v>43</v>
      </c>
      <c r="D30" s="257" t="s">
        <v>55</v>
      </c>
      <c r="E30" s="257" t="s">
        <v>51</v>
      </c>
      <c r="F30" s="257" t="s">
        <v>18</v>
      </c>
      <c r="G30" s="257" t="s">
        <v>106</v>
      </c>
      <c r="H30" s="257" t="str">
        <f>Master_Table[[#This Row],[LES-Type]]&amp;"-"&amp;Master_Table[[#This Row],[Nominal CCT+CRI]]&amp;Master_Table[[#This Row],[Tech]]</f>
        <v>13mm-1830GDP</v>
      </c>
      <c r="I30" s="25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BXRV-TR-1830G-20A0-A-23</v>
      </c>
      <c r="J30" s="257">
        <v>500</v>
      </c>
      <c r="K30" s="259">
        <v>700</v>
      </c>
      <c r="L30" s="260">
        <v>1350</v>
      </c>
      <c r="M30" s="261">
        <f>Master_Table[[#This Row],[Typical Lumens]]/(Master_Table[[#This Row],[Typical Voltage]]*Master_Table[[#This Row],[Typical Current]]/1000)</f>
        <v>76.704545454545453</v>
      </c>
      <c r="N30" s="257">
        <v>35.200000000000003</v>
      </c>
      <c r="O30" s="259">
        <v>-12.1</v>
      </c>
      <c r="P30" s="262">
        <v>0</v>
      </c>
      <c r="Q30" s="263">
        <v>6.3134022010016826E-9</v>
      </c>
      <c r="R30" s="263">
        <v>-1.0989357211375907E-5</v>
      </c>
      <c r="S30" s="263">
        <v>1.436062905044014E-2</v>
      </c>
      <c r="T30" s="264">
        <v>29.9778495024987</v>
      </c>
      <c r="U30" s="265">
        <v>0</v>
      </c>
      <c r="V30" s="266">
        <v>6.9192563587878019E-11</v>
      </c>
      <c r="W30" s="267">
        <v>-4.9616379529983745E-7</v>
      </c>
      <c r="X30" s="267">
        <v>2.230783756752949E-3</v>
      </c>
      <c r="Y30" s="268">
        <v>0</v>
      </c>
      <c r="Z30" s="269">
        <v>0</v>
      </c>
      <c r="AA30" s="270">
        <v>-9.997063362637225E-9</v>
      </c>
      <c r="AB30" s="271">
        <v>-1.999412672527445E-6</v>
      </c>
      <c r="AC30" s="271">
        <v>-1.3995888707692115E-3</v>
      </c>
      <c r="AD30" s="272">
        <v>1.036395558804601</v>
      </c>
      <c r="AE30" s="270">
        <v>0</v>
      </c>
      <c r="AF30" s="270">
        <v>576</v>
      </c>
      <c r="AG30" s="270">
        <v>-1426.3</v>
      </c>
      <c r="AH30" s="270">
        <v>-349.71</v>
      </c>
      <c r="AI30" s="273">
        <v>3005.1</v>
      </c>
      <c r="AJ30" s="260">
        <v>2000</v>
      </c>
      <c r="AK30" s="261">
        <f>Master_Table[[#This Row],[Typical Lumens2]]/(Master_Table[[#This Row],[Typical Voltage2]]*Master_Table[[#This Row],[Typical Current]]/1000)</f>
        <v>110.19283746556475</v>
      </c>
      <c r="AL30" s="257">
        <v>36.299999999999997</v>
      </c>
      <c r="AM30" s="259">
        <v>-12.5</v>
      </c>
      <c r="AN30" s="262">
        <v>0</v>
      </c>
      <c r="AO30" s="263">
        <v>6.5106960197829841E-9</v>
      </c>
      <c r="AP30" s="263">
        <v>-1.1332774624231401E-5</v>
      </c>
      <c r="AQ30" s="263">
        <v>1.4809398708266391E-2</v>
      </c>
      <c r="AR30" s="264">
        <v>30.914657299451779</v>
      </c>
      <c r="AS30" s="266">
        <v>0</v>
      </c>
      <c r="AT30" s="266">
        <v>7.0624563032807148E-11</v>
      </c>
      <c r="AU30" s="267">
        <v>-5.2296323555067057E-7</v>
      </c>
      <c r="AV30" s="267">
        <v>2.2438256768235166E-3</v>
      </c>
      <c r="AW30" s="267">
        <v>-9.9903191310040802E-8</v>
      </c>
      <c r="AX30" s="269">
        <v>0</v>
      </c>
      <c r="AY30" s="270">
        <v>-6.9962176698222528E-9</v>
      </c>
      <c r="AZ30" s="271">
        <v>-1.9989193342349293E-6</v>
      </c>
      <c r="BA30" s="271">
        <v>-1.6990814340996899E-3</v>
      </c>
      <c r="BB30" s="272">
        <v>1.0438356763374801</v>
      </c>
      <c r="BC30" s="257">
        <v>0</v>
      </c>
      <c r="BD30" s="270">
        <v>-576</v>
      </c>
      <c r="BE30" s="270">
        <v>301.70999999999998</v>
      </c>
      <c r="BF30" s="270">
        <v>1474.3</v>
      </c>
      <c r="BG30" s="270">
        <v>1802.1</v>
      </c>
      <c r="BH30" s="260">
        <v>0</v>
      </c>
      <c r="BI30" s="263">
        <v>-5.068475843613823E-10</v>
      </c>
      <c r="BJ30" s="263">
        <v>3.3628590916526503E-6</v>
      </c>
      <c r="BK30" s="263">
        <v>-8.0146844475097838E-3</v>
      </c>
      <c r="BL30" s="259">
        <v>7.4740930012291145</v>
      </c>
      <c r="BM30" s="260">
        <v>0</v>
      </c>
      <c r="BN30" s="263">
        <v>5.1445000000000002E-10</v>
      </c>
      <c r="BO30" s="263">
        <v>-3.4133E-6</v>
      </c>
      <c r="BP30" s="263">
        <v>8.1349000000000005E-3</v>
      </c>
      <c r="BQ30" s="259">
        <v>-6.5861999999999998</v>
      </c>
      <c r="BR30" s="260">
        <v>0</v>
      </c>
      <c r="BS30" s="257">
        <v>9.9023890072546941</v>
      </c>
      <c r="BT30" s="257">
        <v>40.116667853526586</v>
      </c>
      <c r="BU30" s="257">
        <v>449.65649506180227</v>
      </c>
      <c r="BV30" s="259">
        <v>0</v>
      </c>
      <c r="BW30" s="260">
        <v>0</v>
      </c>
      <c r="BX30" s="257">
        <v>13.126470051537975</v>
      </c>
      <c r="BY30" s="257">
        <v>37.54855503068508</v>
      </c>
      <c r="BZ30" s="257">
        <v>449.23055182483802</v>
      </c>
      <c r="CA30" s="259">
        <v>0</v>
      </c>
      <c r="CB30" s="257">
        <v>0</v>
      </c>
      <c r="CC30" s="270">
        <v>-576</v>
      </c>
      <c r="CD30" s="270">
        <v>301.70999999999998</v>
      </c>
      <c r="CE30" s="270">
        <v>1474.3</v>
      </c>
      <c r="CF30" s="273">
        <v>1802.1</v>
      </c>
    </row>
    <row r="31" spans="1:84" s="257" customFormat="1" x14ac:dyDescent="0.25">
      <c r="A31" s="279" t="s">
        <v>101</v>
      </c>
      <c r="B31" s="257" t="s">
        <v>42</v>
      </c>
      <c r="C31" s="257" t="s">
        <v>43</v>
      </c>
      <c r="D31" s="257" t="s">
        <v>56</v>
      </c>
      <c r="E31" s="257" t="s">
        <v>51</v>
      </c>
      <c r="F31" s="257" t="s">
        <v>18</v>
      </c>
      <c r="G31" s="257" t="s">
        <v>106</v>
      </c>
      <c r="H31" s="257" t="str">
        <f>Master_Table[[#This Row],[LES-Type]]&amp;"-"&amp;Master_Table[[#This Row],[Nominal CCT+CRI]]&amp;Master_Table[[#This Row],[Tech]]</f>
        <v>13mm-1840GDP</v>
      </c>
      <c r="I31" s="25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BXRV-TR-1840G-20A0-A-23</v>
      </c>
      <c r="J31" s="257">
        <v>500</v>
      </c>
      <c r="K31" s="259">
        <v>700</v>
      </c>
      <c r="L31" s="260">
        <v>1350</v>
      </c>
      <c r="M31" s="261">
        <f>Master_Table[[#This Row],[Typical Lumens]]/(Master_Table[[#This Row],[Typical Voltage]]*Master_Table[[#This Row],[Typical Current]]/1000)</f>
        <v>76.704545454545453</v>
      </c>
      <c r="N31" s="257">
        <v>35.200000000000003</v>
      </c>
      <c r="O31" s="259">
        <v>-12.1</v>
      </c>
      <c r="P31" s="262">
        <v>0</v>
      </c>
      <c r="Q31" s="263">
        <v>6.3134022010016826E-9</v>
      </c>
      <c r="R31" s="263">
        <v>-1.0989357211375907E-5</v>
      </c>
      <c r="S31" s="263">
        <v>1.436062905044014E-2</v>
      </c>
      <c r="T31" s="264">
        <v>29.9778495024987</v>
      </c>
      <c r="U31" s="265">
        <v>0</v>
      </c>
      <c r="V31" s="266">
        <v>6.9192563587878019E-11</v>
      </c>
      <c r="W31" s="267">
        <v>-4.9616379529983745E-7</v>
      </c>
      <c r="X31" s="267">
        <v>2.230783756752949E-3</v>
      </c>
      <c r="Y31" s="268">
        <v>0</v>
      </c>
      <c r="Z31" s="269">
        <v>0</v>
      </c>
      <c r="AA31" s="270">
        <v>-9.997063362637225E-9</v>
      </c>
      <c r="AB31" s="271">
        <v>-1.999412672527445E-6</v>
      </c>
      <c r="AC31" s="271">
        <v>-1.3995888707692115E-3</v>
      </c>
      <c r="AD31" s="272">
        <v>1.036395558804601</v>
      </c>
      <c r="AE31" s="270">
        <v>0</v>
      </c>
      <c r="AF31" s="270">
        <v>277.33</v>
      </c>
      <c r="AG31" s="270">
        <v>-962.29</v>
      </c>
      <c r="AH31" s="270">
        <v>-1515</v>
      </c>
      <c r="AI31" s="273">
        <v>4000.9</v>
      </c>
      <c r="AJ31" s="260">
        <v>2120</v>
      </c>
      <c r="AK31" s="261">
        <f>Master_Table[[#This Row],[Typical Lumens2]]/(Master_Table[[#This Row],[Typical Voltage2]]*Master_Table[[#This Row],[Typical Current]]/1000)</f>
        <v>116.80440771349863</v>
      </c>
      <c r="AL31" s="257">
        <v>36.299999999999997</v>
      </c>
      <c r="AM31" s="259">
        <v>-12.5</v>
      </c>
      <c r="AN31" s="262">
        <v>0</v>
      </c>
      <c r="AO31" s="263">
        <v>6.5106960197829841E-9</v>
      </c>
      <c r="AP31" s="263">
        <v>-1.1332774624231401E-5</v>
      </c>
      <c r="AQ31" s="263">
        <v>1.4809398708266391E-2</v>
      </c>
      <c r="AR31" s="264">
        <v>30.914657299451779</v>
      </c>
      <c r="AS31" s="266">
        <v>0</v>
      </c>
      <c r="AT31" s="266">
        <v>7.0624563032807148E-11</v>
      </c>
      <c r="AU31" s="267">
        <v>-5.2296323555067057E-7</v>
      </c>
      <c r="AV31" s="267">
        <v>2.2438256768235166E-3</v>
      </c>
      <c r="AW31" s="267">
        <v>-9.9903191310040802E-8</v>
      </c>
      <c r="AX31" s="269">
        <v>0</v>
      </c>
      <c r="AY31" s="270">
        <v>-6.9962176698222528E-9</v>
      </c>
      <c r="AZ31" s="271">
        <v>-1.9989193342349293E-6</v>
      </c>
      <c r="BA31" s="271">
        <v>-1.6990814340996899E-3</v>
      </c>
      <c r="BB31" s="272">
        <v>1.0438356763374801</v>
      </c>
      <c r="BC31" s="270">
        <v>0</v>
      </c>
      <c r="BD31" s="270">
        <v>-2.7199999999999998E-2</v>
      </c>
      <c r="BE31" s="270">
        <v>37.713999999999999</v>
      </c>
      <c r="BF31" s="270">
        <v>2435.3000000000002</v>
      </c>
      <c r="BG31" s="270">
        <v>1837.8</v>
      </c>
      <c r="BH31" s="260">
        <v>0</v>
      </c>
      <c r="BI31" s="263">
        <v>-2.3379143978853158E-11</v>
      </c>
      <c r="BJ31" s="263">
        <v>1.5306565289819192E-7</v>
      </c>
      <c r="BK31" s="263">
        <v>-7.2586924275767472E-4</v>
      </c>
      <c r="BL31" s="259">
        <v>1.9517603165300583</v>
      </c>
      <c r="BM31" s="260">
        <v>0</v>
      </c>
      <c r="BN31" s="263">
        <v>2.3279E-11</v>
      </c>
      <c r="BO31" s="263">
        <v>-1.5241E-7</v>
      </c>
      <c r="BP31" s="263">
        <v>7.2276000000000003E-4</v>
      </c>
      <c r="BQ31" s="264">
        <v>-0.94343999999999995</v>
      </c>
      <c r="BR31" s="260">
        <v>0</v>
      </c>
      <c r="BS31" s="257">
        <v>9.9023890072546941</v>
      </c>
      <c r="BT31" s="257">
        <v>40.116667853526586</v>
      </c>
      <c r="BU31" s="257">
        <v>449.65649506180227</v>
      </c>
      <c r="BV31" s="259">
        <v>0</v>
      </c>
      <c r="BW31" s="260">
        <v>0</v>
      </c>
      <c r="BX31" s="257">
        <v>13.126470051537975</v>
      </c>
      <c r="BY31" s="257">
        <v>37.54855503068508</v>
      </c>
      <c r="BZ31" s="257">
        <v>449.23055182483802</v>
      </c>
      <c r="CA31" s="259">
        <v>0</v>
      </c>
      <c r="CB31" s="270">
        <v>0</v>
      </c>
      <c r="CC31" s="270">
        <v>-2.7199999999999998E-2</v>
      </c>
      <c r="CD31" s="270">
        <v>37.713999999999999</v>
      </c>
      <c r="CE31" s="270">
        <v>2435.3000000000002</v>
      </c>
      <c r="CF31" s="273">
        <v>1837.8</v>
      </c>
    </row>
    <row r="32" spans="1:84" s="304" customFormat="1" ht="16.5" thickBot="1" x14ac:dyDescent="0.3">
      <c r="A32" s="283"/>
      <c r="B32" s="284"/>
      <c r="C32" s="284"/>
      <c r="D32" s="284"/>
      <c r="E32" s="284"/>
      <c r="F32" s="284"/>
      <c r="G32" s="284"/>
      <c r="H32" s="284"/>
      <c r="I32" s="284"/>
      <c r="J32" s="284"/>
      <c r="K32" s="286"/>
      <c r="L32" s="287"/>
      <c r="M32" s="288"/>
      <c r="N32" s="284"/>
      <c r="O32" s="286"/>
      <c r="P32" s="289"/>
      <c r="Q32" s="290"/>
      <c r="R32" s="290"/>
      <c r="S32" s="290"/>
      <c r="T32" s="291"/>
      <c r="U32" s="305"/>
      <c r="V32" s="292"/>
      <c r="W32" s="293"/>
      <c r="X32" s="293"/>
      <c r="Y32" s="294"/>
      <c r="Z32" s="295"/>
      <c r="AA32" s="296"/>
      <c r="AB32" s="293"/>
      <c r="AC32" s="293"/>
      <c r="AD32" s="297"/>
      <c r="AE32" s="296"/>
      <c r="AF32" s="296"/>
      <c r="AG32" s="296"/>
      <c r="AH32" s="296"/>
      <c r="AI32" s="303"/>
      <c r="AJ32" s="287"/>
      <c r="AK32" s="288"/>
      <c r="AL32" s="284"/>
      <c r="AM32" s="286"/>
      <c r="AN32" s="289"/>
      <c r="AO32" s="290"/>
      <c r="AP32" s="290"/>
      <c r="AQ32" s="290"/>
      <c r="AR32" s="291"/>
      <c r="AS32" s="292"/>
      <c r="AT32" s="292"/>
      <c r="AU32" s="293"/>
      <c r="AV32" s="293"/>
      <c r="AW32" s="306"/>
      <c r="AX32" s="298"/>
      <c r="AY32" s="299"/>
      <c r="AZ32" s="301"/>
      <c r="BA32" s="301"/>
      <c r="BB32" s="302"/>
      <c r="BC32" s="299"/>
      <c r="BD32" s="299"/>
      <c r="BE32" s="299"/>
      <c r="BF32" s="299"/>
      <c r="BG32" s="299"/>
      <c r="BH32" s="287"/>
      <c r="BI32" s="290"/>
      <c r="BJ32" s="290"/>
      <c r="BK32" s="290"/>
      <c r="BL32" s="286"/>
      <c r="BM32" s="287"/>
      <c r="BN32" s="290"/>
      <c r="BO32" s="290"/>
      <c r="BP32" s="290"/>
      <c r="BQ32" s="286"/>
      <c r="BR32" s="307"/>
      <c r="BS32" s="308"/>
      <c r="BT32" s="308"/>
      <c r="BU32" s="309"/>
      <c r="BV32" s="310"/>
      <c r="BW32" s="287"/>
      <c r="BX32" s="309"/>
      <c r="BY32" s="309"/>
      <c r="BZ32" s="309"/>
      <c r="CA32" s="311"/>
      <c r="CB32" s="296"/>
      <c r="CC32" s="296"/>
      <c r="CD32" s="296"/>
      <c r="CE32" s="296"/>
      <c r="CF32" s="303"/>
    </row>
    <row r="33" spans="1:84" s="281" customFormat="1" x14ac:dyDescent="0.25">
      <c r="A33" s="280" t="s">
        <v>102</v>
      </c>
      <c r="B33" s="253" t="s">
        <v>42</v>
      </c>
      <c r="C33" s="253" t="s">
        <v>43</v>
      </c>
      <c r="D33" s="233" t="s">
        <v>41</v>
      </c>
      <c r="E33" s="253" t="s">
        <v>173</v>
      </c>
      <c r="F33" s="253" t="s">
        <v>18</v>
      </c>
      <c r="G33" s="253" t="s">
        <v>106</v>
      </c>
      <c r="H33" s="274" t="str">
        <f>Master_Table[[#This Row],[LES-Type]]&amp;"-"&amp;Master_Table[[#This Row],[Nominal CCT+CRI]]&amp;Master_Table[[#This Row],[Tech]]</f>
        <v>15mm-2750GDP</v>
      </c>
      <c r="I33" s="27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BXRV-TR-2750G-30A0-A-23</v>
      </c>
      <c r="J33" s="253">
        <v>650</v>
      </c>
      <c r="K33" s="251">
        <v>950</v>
      </c>
      <c r="L33" s="280">
        <v>2615</v>
      </c>
      <c r="M33" s="275">
        <f>Master_Table[[#This Row],[Typical Lumens]]/(Master_Table[[#This Row],[Typical Voltage]]*Master_Table[[#This Row],[Typical Current]]/1000)</f>
        <v>113.96818478971456</v>
      </c>
      <c r="N33" s="253">
        <v>35.299999999999997</v>
      </c>
      <c r="O33" s="251">
        <v>-11.5</v>
      </c>
      <c r="P33" s="257">
        <v>0</v>
      </c>
      <c r="Q33" s="263">
        <v>3.5448171774968067E-9</v>
      </c>
      <c r="R33" s="263">
        <v>-7.382803278209811E-6</v>
      </c>
      <c r="S33" s="263">
        <v>9.3148362062517726E-3</v>
      </c>
      <c r="T33" s="263">
        <v>31.391095433609934</v>
      </c>
      <c r="U33" s="280">
        <v>0</v>
      </c>
      <c r="V33" s="250">
        <v>-5.1988411201033662E-10</v>
      </c>
      <c r="W33" s="250">
        <v>5.9529741737029177E-7</v>
      </c>
      <c r="X33" s="250">
        <v>1.3711692544952161E-3</v>
      </c>
      <c r="Y33" s="251">
        <v>0</v>
      </c>
      <c r="Z33" s="260">
        <v>0</v>
      </c>
      <c r="AA33" s="263">
        <v>-1.0405028713312792E-9</v>
      </c>
      <c r="AB33" s="263">
        <v>-3.3427942933885873E-6</v>
      </c>
      <c r="AC33" s="263">
        <v>-1.3838358060884132E-3</v>
      </c>
      <c r="AD33" s="264">
        <v>1.0367013994429426</v>
      </c>
      <c r="AE33" s="246">
        <v>0</v>
      </c>
      <c r="AF33" s="247">
        <v>-1162.7</v>
      </c>
      <c r="AG33" s="247">
        <v>2808</v>
      </c>
      <c r="AH33" s="247">
        <v>-3945.3</v>
      </c>
      <c r="AI33" s="248">
        <v>4997.6000000000004</v>
      </c>
      <c r="AJ33" s="280">
        <v>2960</v>
      </c>
      <c r="AK33" s="275">
        <f>Master_Table[[#This Row],[Typical Lumens2]]/(Master_Table[[#This Row],[Typical Voltage2]]*Master_Table[[#This Row],[Typical Current]]/1000)</f>
        <v>125.79685507862301</v>
      </c>
      <c r="AL33" s="253">
        <v>36.200000000000003</v>
      </c>
      <c r="AM33" s="251">
        <v>-11.8</v>
      </c>
      <c r="AN33" s="260">
        <v>0</v>
      </c>
      <c r="AO33" s="263">
        <v>3.1906006737683292E-9</v>
      </c>
      <c r="AP33" s="263">
        <v>-6.8885767143897017E-6</v>
      </c>
      <c r="AQ33" s="263">
        <v>1.0090283554479699E-2</v>
      </c>
      <c r="AR33" s="264">
        <v>31.675520641384225</v>
      </c>
      <c r="AS33" s="344">
        <v>0</v>
      </c>
      <c r="AT33" s="344">
        <v>-6.0279275072677939E-10</v>
      </c>
      <c r="AU33" s="344">
        <v>7.0443142593333104E-7</v>
      </c>
      <c r="AV33" s="344">
        <v>1.3352610487869375E-3</v>
      </c>
      <c r="AW33" s="344">
        <v>0</v>
      </c>
      <c r="AX33" s="280">
        <v>0</v>
      </c>
      <c r="AY33" s="250">
        <v>-1.7827576769616002E-8</v>
      </c>
      <c r="AZ33" s="250">
        <v>2.0833537413340061E-5</v>
      </c>
      <c r="BA33" s="250">
        <v>3.9490303800147501E-2</v>
      </c>
      <c r="BB33" s="252">
        <v>0</v>
      </c>
      <c r="BC33" s="246">
        <v>0</v>
      </c>
      <c r="BD33" s="247">
        <v>1162.7</v>
      </c>
      <c r="BE33" s="247">
        <v>-680</v>
      </c>
      <c r="BF33" s="247">
        <v>1817.3</v>
      </c>
      <c r="BG33" s="248">
        <v>2697.6</v>
      </c>
      <c r="BH33" s="280">
        <v>0</v>
      </c>
      <c r="BI33" s="250">
        <v>8.4701000000000004E-12</v>
      </c>
      <c r="BJ33" s="250">
        <v>-6.9332E-9</v>
      </c>
      <c r="BK33" s="250">
        <v>-7.6911000000000004E-4</v>
      </c>
      <c r="BL33" s="251">
        <v>2.96</v>
      </c>
      <c r="BM33" s="280">
        <v>0</v>
      </c>
      <c r="BN33" s="250">
        <v>-8.4701000000000004E-12</v>
      </c>
      <c r="BO33" s="250">
        <v>6.9351999999999998E-9</v>
      </c>
      <c r="BP33" s="250">
        <v>7.6911000000000004E-4</v>
      </c>
      <c r="BQ33" s="251">
        <v>-1.96</v>
      </c>
      <c r="BR33" s="280">
        <v>0</v>
      </c>
      <c r="BS33" s="250">
        <v>115.99607136885182</v>
      </c>
      <c r="BT33" s="250">
        <v>-196.54806762422245</v>
      </c>
      <c r="BU33" s="250">
        <v>730.84206878619193</v>
      </c>
      <c r="BV33" s="252">
        <v>0</v>
      </c>
      <c r="BW33" s="260">
        <v>0</v>
      </c>
      <c r="BX33" s="263">
        <v>137.69689817543923</v>
      </c>
      <c r="BY33" s="263">
        <v>-239.11891432175969</v>
      </c>
      <c r="BZ33" s="263">
        <v>751.30707947383007</v>
      </c>
      <c r="CA33" s="264">
        <v>0</v>
      </c>
      <c r="CB33" s="246">
        <v>0</v>
      </c>
      <c r="CC33" s="247">
        <v>1162.7</v>
      </c>
      <c r="CD33" s="247">
        <v>-680</v>
      </c>
      <c r="CE33" s="247">
        <v>1817.3</v>
      </c>
      <c r="CF33" s="248">
        <v>2697.6</v>
      </c>
    </row>
    <row r="34" spans="1:84" s="281" customFormat="1" x14ac:dyDescent="0.25">
      <c r="A34" s="260" t="s">
        <v>102</v>
      </c>
      <c r="B34" s="257" t="s">
        <v>42</v>
      </c>
      <c r="C34" s="257" t="s">
        <v>43</v>
      </c>
      <c r="D34" s="257" t="s">
        <v>49</v>
      </c>
      <c r="E34" s="257" t="s">
        <v>173</v>
      </c>
      <c r="F34" s="257" t="s">
        <v>18</v>
      </c>
      <c r="G34" s="257" t="s">
        <v>106</v>
      </c>
      <c r="H34" s="278" t="str">
        <f>Master_Table[[#This Row],[LES-Type]]&amp;"-"&amp;Master_Table[[#This Row],[Nominal CCT+CRI]]&amp;Master_Table[[#This Row],[Tech]]</f>
        <v>15mm-2765GDP</v>
      </c>
      <c r="I34"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BXRV-TR-2765G-30A0-A-23</v>
      </c>
      <c r="J34" s="257">
        <v>650</v>
      </c>
      <c r="K34" s="259">
        <v>950</v>
      </c>
      <c r="L34" s="260">
        <v>2615</v>
      </c>
      <c r="M34" s="261">
        <f>Master_Table[[#This Row],[Typical Lumens]]/(Master_Table[[#This Row],[Typical Voltage]]*Master_Table[[#This Row],[Typical Current]]/1000)</f>
        <v>113.96818478971456</v>
      </c>
      <c r="N34" s="257">
        <v>35.299999999999997</v>
      </c>
      <c r="O34" s="259">
        <v>-11.5</v>
      </c>
      <c r="P34" s="257">
        <v>0</v>
      </c>
      <c r="Q34" s="257">
        <v>3.5448171774968067E-9</v>
      </c>
      <c r="R34" s="257">
        <v>-7.382803278209811E-6</v>
      </c>
      <c r="S34" s="257">
        <v>9.3148362062517726E-3</v>
      </c>
      <c r="T34" s="257">
        <v>31.391095433609934</v>
      </c>
      <c r="U34" s="260">
        <v>0</v>
      </c>
      <c r="V34" s="257">
        <v>-5.1988411201033662E-10</v>
      </c>
      <c r="W34" s="257">
        <v>5.9529741737029177E-7</v>
      </c>
      <c r="X34" s="257">
        <v>1.3711692544952161E-3</v>
      </c>
      <c r="Y34" s="259">
        <v>0</v>
      </c>
      <c r="Z34" s="260">
        <v>0</v>
      </c>
      <c r="AA34" s="257">
        <v>-1.0405028713312792E-9</v>
      </c>
      <c r="AB34" s="257">
        <v>-3.3427942933885873E-6</v>
      </c>
      <c r="AC34" s="257">
        <v>-1.3838358060884132E-3</v>
      </c>
      <c r="AD34" s="259">
        <v>1.0367013994429426</v>
      </c>
      <c r="AE34" s="269">
        <v>0</v>
      </c>
      <c r="AF34" s="270">
        <v>-5439.9</v>
      </c>
      <c r="AG34" s="270">
        <v>11628</v>
      </c>
      <c r="AH34" s="270">
        <v>-9982.9</v>
      </c>
      <c r="AI34" s="273">
        <v>6487.6</v>
      </c>
      <c r="AJ34" s="260">
        <v>2960</v>
      </c>
      <c r="AK34" s="261">
        <f>Master_Table[[#This Row],[Typical Lumens2]]/(Master_Table[[#This Row],[Typical Voltage2]]*Master_Table[[#This Row],[Typical Current]]/1000)</f>
        <v>125.79685507862301</v>
      </c>
      <c r="AL34" s="257">
        <v>36.200000000000003</v>
      </c>
      <c r="AM34" s="259">
        <v>-11.8</v>
      </c>
      <c r="AN34" s="260">
        <v>0</v>
      </c>
      <c r="AO34" s="257">
        <v>3.1906006737683292E-9</v>
      </c>
      <c r="AP34" s="257">
        <v>-6.8885767143897017E-6</v>
      </c>
      <c r="AQ34" s="257">
        <v>1.0090283554479699E-2</v>
      </c>
      <c r="AR34" s="259">
        <v>31.675520641384225</v>
      </c>
      <c r="AS34" s="344">
        <v>0</v>
      </c>
      <c r="AT34" s="344">
        <v>-6.0279275072677939E-10</v>
      </c>
      <c r="AU34" s="344">
        <v>7.0443142593333104E-7</v>
      </c>
      <c r="AV34" s="344">
        <v>1.3352610487869375E-3</v>
      </c>
      <c r="AW34" s="344">
        <v>0</v>
      </c>
      <c r="AX34" s="260">
        <v>0</v>
      </c>
      <c r="AY34" s="257">
        <v>-1.7827576769616002E-8</v>
      </c>
      <c r="AZ34" s="257">
        <v>2.0833537413340061E-5</v>
      </c>
      <c r="BA34" s="257">
        <v>3.9490303800147501E-2</v>
      </c>
      <c r="BB34" s="259">
        <v>0</v>
      </c>
      <c r="BC34" s="269">
        <v>0</v>
      </c>
      <c r="BD34" s="270">
        <v>5439.9</v>
      </c>
      <c r="BE34" s="270">
        <v>-4691.3999999999996</v>
      </c>
      <c r="BF34" s="270">
        <v>3045.8</v>
      </c>
      <c r="BG34" s="273">
        <v>2693.2</v>
      </c>
      <c r="BH34" s="260">
        <v>0</v>
      </c>
      <c r="BI34" s="263">
        <v>-8.7960505630037875E-12</v>
      </c>
      <c r="BJ34" s="263">
        <v>1.877519843912848E-7</v>
      </c>
      <c r="BK34" s="263">
        <v>-1.3920927047815347E-3</v>
      </c>
      <c r="BL34" s="259">
        <v>3.5325761287865722</v>
      </c>
      <c r="BM34" s="260">
        <v>0</v>
      </c>
      <c r="BN34" s="263">
        <v>9.2087000000000005E-12</v>
      </c>
      <c r="BO34" s="263">
        <v>-1.9656000000000001E-7</v>
      </c>
      <c r="BP34" s="263">
        <v>1.4574E-3</v>
      </c>
      <c r="BQ34" s="259">
        <v>-2.6983000000000001</v>
      </c>
      <c r="BR34" s="260">
        <v>0</v>
      </c>
      <c r="BS34" s="263">
        <v>115.99607136885182</v>
      </c>
      <c r="BT34" s="263">
        <v>-196.54806762422245</v>
      </c>
      <c r="BU34" s="263">
        <v>730.84206878619193</v>
      </c>
      <c r="BV34" s="259">
        <v>0</v>
      </c>
      <c r="BW34" s="260">
        <v>0</v>
      </c>
      <c r="BX34" s="257">
        <v>137.69689817543923</v>
      </c>
      <c r="BY34" s="257">
        <v>-239.11891432175969</v>
      </c>
      <c r="BZ34" s="257">
        <v>751.30707947383007</v>
      </c>
      <c r="CA34" s="259">
        <v>0</v>
      </c>
      <c r="CB34" s="269">
        <v>0</v>
      </c>
      <c r="CC34" s="270">
        <v>5439.9</v>
      </c>
      <c r="CD34" s="270">
        <v>-4691.3999999999996</v>
      </c>
      <c r="CE34" s="270">
        <v>3045.8</v>
      </c>
      <c r="CF34" s="273">
        <v>2693.2</v>
      </c>
    </row>
    <row r="35" spans="1:84" x14ac:dyDescent="0.25">
      <c r="A35" s="93"/>
      <c r="B35" s="94"/>
      <c r="C35" s="94"/>
      <c r="D35" s="94"/>
      <c r="E35" s="94"/>
      <c r="F35" s="94"/>
      <c r="G35" s="94"/>
      <c r="H35" s="147"/>
      <c r="I35" s="147"/>
      <c r="J35" s="94"/>
      <c r="K35" s="95"/>
      <c r="L35" s="93"/>
      <c r="M35" s="102"/>
      <c r="N35" s="94"/>
      <c r="O35" s="95"/>
      <c r="P35" s="94"/>
      <c r="Q35" s="94"/>
      <c r="R35" s="94"/>
      <c r="S35" s="94"/>
      <c r="T35" s="94"/>
      <c r="U35" s="93"/>
      <c r="V35" s="94"/>
      <c r="W35" s="94"/>
      <c r="X35" s="94"/>
      <c r="Y35" s="95"/>
      <c r="Z35" s="93"/>
      <c r="AA35" s="94"/>
      <c r="AB35" s="94"/>
      <c r="AC35" s="94"/>
      <c r="AD35" s="95"/>
      <c r="AE35" s="164"/>
      <c r="AF35" s="91"/>
      <c r="AG35" s="91"/>
      <c r="AH35" s="91"/>
      <c r="AI35" s="170"/>
      <c r="AJ35" s="93"/>
      <c r="AK35" s="102"/>
      <c r="AL35" s="94"/>
      <c r="AM35" s="95"/>
      <c r="AN35" s="93"/>
      <c r="AO35" s="94"/>
      <c r="AP35" s="94"/>
      <c r="AQ35" s="94"/>
      <c r="AR35" s="95"/>
      <c r="AS35" s="94"/>
      <c r="AT35" s="94"/>
      <c r="AU35" s="94"/>
      <c r="AV35" s="94"/>
      <c r="AW35" s="94"/>
      <c r="AX35" s="93"/>
      <c r="AY35" s="94"/>
      <c r="AZ35" s="94"/>
      <c r="BA35" s="94"/>
      <c r="BB35" s="95"/>
      <c r="BC35" s="164"/>
      <c r="BD35" s="91"/>
      <c r="BE35" s="91"/>
      <c r="BF35" s="91"/>
      <c r="BG35" s="170"/>
      <c r="BH35" s="93"/>
      <c r="BI35" s="103"/>
      <c r="BJ35" s="103"/>
      <c r="BK35" s="103"/>
      <c r="BL35" s="95"/>
      <c r="BM35" s="93"/>
      <c r="BN35" s="103"/>
      <c r="BO35" s="103"/>
      <c r="BP35" s="103"/>
      <c r="BQ35" s="95"/>
      <c r="BR35" s="93"/>
      <c r="BS35" s="94"/>
      <c r="BT35" s="94"/>
      <c r="BU35" s="94"/>
      <c r="BV35" s="95"/>
      <c r="BW35" s="93"/>
      <c r="BX35" s="94"/>
      <c r="BY35" s="94"/>
      <c r="BZ35" s="94"/>
      <c r="CA35" s="95"/>
      <c r="CB35" s="164"/>
      <c r="CC35" s="91"/>
      <c r="CD35" s="91"/>
      <c r="CE35" s="91"/>
      <c r="CF35" s="170"/>
    </row>
    <row r="36" spans="1:84" x14ac:dyDescent="0.25">
      <c r="A36" s="93"/>
      <c r="B36" s="94"/>
      <c r="C36" s="94"/>
      <c r="D36" s="94"/>
      <c r="E36" s="94"/>
      <c r="F36" s="94"/>
      <c r="G36" s="94"/>
      <c r="H36" s="147"/>
      <c r="I36" s="147"/>
      <c r="J36" s="94"/>
      <c r="K36" s="95"/>
      <c r="L36" s="93"/>
      <c r="M36" s="102"/>
      <c r="N36" s="94"/>
      <c r="O36" s="95"/>
      <c r="P36" s="94"/>
      <c r="Q36" s="94"/>
      <c r="R36" s="94"/>
      <c r="S36" s="94"/>
      <c r="T36" s="94"/>
      <c r="U36" s="93"/>
      <c r="V36" s="94"/>
      <c r="W36" s="94"/>
      <c r="X36" s="94"/>
      <c r="Y36" s="95"/>
      <c r="Z36" s="93"/>
      <c r="AA36" s="94"/>
      <c r="AB36" s="94"/>
      <c r="AC36" s="94"/>
      <c r="AD36" s="95"/>
      <c r="AE36" s="164"/>
      <c r="AF36" s="91"/>
      <c r="AG36" s="91"/>
      <c r="AH36" s="91"/>
      <c r="AI36" s="170"/>
      <c r="AJ36" s="93"/>
      <c r="AK36" s="102"/>
      <c r="AL36" s="94"/>
      <c r="AM36" s="95"/>
      <c r="AN36" s="93"/>
      <c r="AO36" s="94"/>
      <c r="AP36" s="94"/>
      <c r="AQ36" s="94"/>
      <c r="AR36" s="95"/>
      <c r="AS36" s="94"/>
      <c r="AT36" s="94"/>
      <c r="AU36" s="94"/>
      <c r="AV36" s="94"/>
      <c r="AW36" s="94"/>
      <c r="AX36" s="93"/>
      <c r="AY36" s="94"/>
      <c r="AZ36" s="94"/>
      <c r="BA36" s="94"/>
      <c r="BB36" s="95"/>
      <c r="BC36" s="164"/>
      <c r="BD36" s="91"/>
      <c r="BE36" s="91"/>
      <c r="BF36" s="91"/>
      <c r="BG36" s="170"/>
      <c r="BH36" s="93"/>
      <c r="BI36" s="94"/>
      <c r="BJ36" s="94"/>
      <c r="BK36" s="94"/>
      <c r="BL36" s="95"/>
      <c r="BM36" s="93"/>
      <c r="BN36" s="94"/>
      <c r="BO36" s="94"/>
      <c r="BP36" s="94"/>
      <c r="BQ36" s="95"/>
      <c r="BR36" s="93"/>
      <c r="BS36" s="94"/>
      <c r="BT36" s="94"/>
      <c r="BU36" s="94"/>
      <c r="BV36" s="95"/>
      <c r="BW36" s="93"/>
      <c r="BX36" s="94"/>
      <c r="BY36" s="94"/>
      <c r="BZ36" s="94"/>
      <c r="CA36" s="95"/>
      <c r="CB36" s="164"/>
      <c r="CC36" s="91"/>
      <c r="CD36" s="91"/>
      <c r="CE36" s="91"/>
      <c r="CF36" s="170"/>
    </row>
    <row r="37" spans="1:84" x14ac:dyDescent="0.25">
      <c r="A37" s="93"/>
      <c r="B37" s="94"/>
      <c r="C37" s="94"/>
      <c r="D37" s="94"/>
      <c r="E37" s="94"/>
      <c r="F37" s="94"/>
      <c r="G37" s="94"/>
      <c r="H37" s="147"/>
      <c r="I37" s="147"/>
      <c r="J37" s="94"/>
      <c r="K37" s="95"/>
      <c r="L37" s="93"/>
      <c r="M37" s="102"/>
      <c r="N37" s="94"/>
      <c r="O37" s="95"/>
      <c r="P37" s="94"/>
      <c r="Q37" s="94"/>
      <c r="R37" s="94"/>
      <c r="S37" s="94"/>
      <c r="T37" s="94"/>
      <c r="U37" s="93"/>
      <c r="V37" s="94"/>
      <c r="W37" s="94"/>
      <c r="X37" s="94"/>
      <c r="Y37" s="95"/>
      <c r="Z37" s="93"/>
      <c r="AA37" s="94"/>
      <c r="AB37" s="94"/>
      <c r="AC37" s="94"/>
      <c r="AD37" s="95"/>
      <c r="AE37" s="164"/>
      <c r="AF37" s="91"/>
      <c r="AG37" s="91"/>
      <c r="AH37" s="91"/>
      <c r="AI37" s="170"/>
      <c r="AJ37" s="93"/>
      <c r="AK37" s="102"/>
      <c r="AL37" s="94"/>
      <c r="AM37" s="95"/>
      <c r="AN37" s="93"/>
      <c r="AO37" s="94"/>
      <c r="AP37" s="94"/>
      <c r="AQ37" s="94"/>
      <c r="AR37" s="95"/>
      <c r="AS37" s="94"/>
      <c r="AT37" s="94"/>
      <c r="AU37" s="94"/>
      <c r="AV37" s="94"/>
      <c r="AW37" s="94"/>
      <c r="AX37" s="93"/>
      <c r="AY37" s="94"/>
      <c r="AZ37" s="94"/>
      <c r="BA37" s="94"/>
      <c r="BB37" s="95"/>
      <c r="BC37" s="164"/>
      <c r="BD37" s="91"/>
      <c r="BE37" s="91"/>
      <c r="BF37" s="91"/>
      <c r="BG37" s="170"/>
      <c r="BH37" s="93"/>
      <c r="BI37" s="103"/>
      <c r="BJ37" s="103"/>
      <c r="BK37" s="103"/>
      <c r="BL37" s="95"/>
      <c r="BM37" s="93"/>
      <c r="BN37" s="103"/>
      <c r="BO37" s="103"/>
      <c r="BP37" s="103"/>
      <c r="BQ37" s="95"/>
      <c r="BR37" s="93"/>
      <c r="BS37" s="94"/>
      <c r="BT37" s="94"/>
      <c r="BU37" s="94"/>
      <c r="BV37" s="95"/>
      <c r="BW37" s="93"/>
      <c r="BX37" s="94"/>
      <c r="BY37" s="94"/>
      <c r="BZ37" s="94"/>
      <c r="CA37" s="95"/>
      <c r="CB37" s="164"/>
      <c r="CC37" s="91"/>
      <c r="CD37" s="91"/>
      <c r="CE37" s="91"/>
      <c r="CF37" s="170"/>
    </row>
    <row r="38" spans="1:84" ht="16.5" thickBot="1" x14ac:dyDescent="0.3">
      <c r="A38" s="93"/>
      <c r="B38" s="94"/>
      <c r="C38" s="94"/>
      <c r="D38" s="94"/>
      <c r="E38" s="94"/>
      <c r="F38" s="94"/>
      <c r="G38" s="94"/>
      <c r="H38" s="147"/>
      <c r="I38" s="147"/>
      <c r="J38" s="94"/>
      <c r="K38" s="95"/>
      <c r="L38" s="96"/>
      <c r="M38" s="151"/>
      <c r="N38" s="97"/>
      <c r="O38" s="98"/>
      <c r="P38" s="94"/>
      <c r="Q38" s="94"/>
      <c r="R38" s="94"/>
      <c r="S38" s="94"/>
      <c r="T38" s="94"/>
      <c r="U38" s="96"/>
      <c r="V38" s="97"/>
      <c r="W38" s="97"/>
      <c r="X38" s="97"/>
      <c r="Y38" s="98"/>
      <c r="Z38" s="93"/>
      <c r="AA38" s="94"/>
      <c r="AB38" s="94"/>
      <c r="AC38" s="94"/>
      <c r="AD38" s="95"/>
      <c r="AE38" s="164"/>
      <c r="AF38" s="91"/>
      <c r="AG38" s="91"/>
      <c r="AH38" s="91"/>
      <c r="AI38" s="170"/>
      <c r="AJ38" s="96"/>
      <c r="AK38" s="151"/>
      <c r="AL38" s="97"/>
      <c r="AM38" s="98"/>
      <c r="AN38" s="93"/>
      <c r="AO38" s="94"/>
      <c r="AP38" s="94"/>
      <c r="AQ38" s="94"/>
      <c r="AR38" s="95"/>
      <c r="AS38" s="94"/>
      <c r="AT38" s="94"/>
      <c r="AU38" s="94"/>
      <c r="AV38" s="94"/>
      <c r="AW38" s="94"/>
      <c r="AX38" s="96"/>
      <c r="AY38" s="97"/>
      <c r="AZ38" s="97"/>
      <c r="BA38" s="97"/>
      <c r="BB38" s="98"/>
      <c r="BC38" s="164"/>
      <c r="BD38" s="91"/>
      <c r="BE38" s="91"/>
      <c r="BF38" s="91"/>
      <c r="BG38" s="170"/>
      <c r="BH38" s="93"/>
      <c r="BI38" s="103"/>
      <c r="BJ38" s="103"/>
      <c r="BK38" s="103"/>
      <c r="BL38" s="95"/>
      <c r="BM38" s="93"/>
      <c r="BN38" s="103"/>
      <c r="BO38" s="103"/>
      <c r="BP38" s="103"/>
      <c r="BQ38" s="154"/>
      <c r="BR38" s="93"/>
      <c r="BS38" s="94"/>
      <c r="BT38" s="94"/>
      <c r="BU38" s="94"/>
      <c r="BV38" s="95"/>
      <c r="BW38" s="96"/>
      <c r="BX38" s="97"/>
      <c r="BY38" s="97"/>
      <c r="BZ38" s="97"/>
      <c r="CA38" s="98"/>
      <c r="CB38" s="164"/>
      <c r="CC38" s="91"/>
      <c r="CD38" s="91"/>
      <c r="CE38" s="91"/>
      <c r="CF38" s="170"/>
    </row>
    <row r="39" spans="1:84" s="281" customFormat="1" x14ac:dyDescent="0.25">
      <c r="A39" s="280" t="s">
        <v>103</v>
      </c>
      <c r="B39" s="253" t="s">
        <v>42</v>
      </c>
      <c r="C39" s="253" t="s">
        <v>43</v>
      </c>
      <c r="D39" s="233" t="s">
        <v>41</v>
      </c>
      <c r="E39" s="253" t="s">
        <v>174</v>
      </c>
      <c r="F39" s="253" t="s">
        <v>18</v>
      </c>
      <c r="G39" s="253" t="s">
        <v>106</v>
      </c>
      <c r="H39" s="274" t="str">
        <f>Master_Table[[#This Row],[LES-Type]]&amp;"-"&amp;Master_Table[[#This Row],[Nominal CCT+CRI]]&amp;Master_Table[[#This Row],[Tech]]</f>
        <v>18mm-2750GDP</v>
      </c>
      <c r="I39" s="27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BXRV-TR-2750G-40A0-A-23</v>
      </c>
      <c r="J39" s="253">
        <v>900</v>
      </c>
      <c r="K39" s="251">
        <v>1400</v>
      </c>
      <c r="L39" s="280">
        <v>3650</v>
      </c>
      <c r="M39" s="275">
        <f>Master_Table[[#This Row],[Typical Lumens]]/(Master_Table[[#This Row],[Typical Voltage]]*Master_Table[[#This Row],[Typical Current]]/1000)</f>
        <v>115.21464646464645</v>
      </c>
      <c r="N39" s="253">
        <v>35.200000000000003</v>
      </c>
      <c r="O39" s="251">
        <v>-11.5</v>
      </c>
      <c r="P39" s="253">
        <v>0</v>
      </c>
      <c r="Q39" s="250">
        <v>9.2448663744205294E-10</v>
      </c>
      <c r="R39" s="250">
        <v>-3.3279418599256972E-6</v>
      </c>
      <c r="S39" s="250">
        <v>6.8486512961052452E-3</v>
      </c>
      <c r="T39" s="250">
        <v>31.057895981349841</v>
      </c>
      <c r="U39" s="249">
        <v>0</v>
      </c>
      <c r="V39" s="250">
        <v>-4.9754063026872942E-11</v>
      </c>
      <c r="W39" s="250">
        <v>-1.020265209108005E-7</v>
      </c>
      <c r="X39" s="250">
        <v>1.2432357709825986E-3</v>
      </c>
      <c r="Y39" s="251">
        <v>0</v>
      </c>
      <c r="Z39" s="280">
        <v>0</v>
      </c>
      <c r="AA39" s="250">
        <v>4.8117006622406727E-8</v>
      </c>
      <c r="AB39" s="250">
        <v>-1.4183045740663623E-5</v>
      </c>
      <c r="AC39" s="250">
        <v>-7.375323983295454E-4</v>
      </c>
      <c r="AD39" s="251">
        <v>1.0265508853176784</v>
      </c>
      <c r="AE39" s="246">
        <v>0</v>
      </c>
      <c r="AF39" s="247">
        <v>-1162.7</v>
      </c>
      <c r="AG39" s="247">
        <v>2808</v>
      </c>
      <c r="AH39" s="247">
        <v>-3945.3</v>
      </c>
      <c r="AI39" s="248">
        <v>4997.6000000000004</v>
      </c>
      <c r="AJ39" s="280">
        <v>4150</v>
      </c>
      <c r="AK39" s="275">
        <f>Master_Table[[#This Row],[Typical Lumens2]]/(Master_Table[[#This Row],[Typical Voltage2]]*Master_Table[[#This Row],[Typical Current]]/1000)</f>
        <v>128.8019863438858</v>
      </c>
      <c r="AL39" s="253">
        <v>35.799999999999997</v>
      </c>
      <c r="AM39" s="251">
        <v>-11.6</v>
      </c>
      <c r="AN39" s="280">
        <v>0</v>
      </c>
      <c r="AO39" s="250">
        <v>1.4797687785265915E-9</v>
      </c>
      <c r="AP39" s="250">
        <v>-4.4166826938951844E-6</v>
      </c>
      <c r="AQ39" s="250">
        <v>7.8657228120611322E-3</v>
      </c>
      <c r="AR39" s="252">
        <v>31.219611011654187</v>
      </c>
      <c r="AS39" s="280">
        <v>0</v>
      </c>
      <c r="AT39" s="250">
        <v>-1.1568343088322302E-11</v>
      </c>
      <c r="AU39" s="250">
        <v>-1.8013025233400333E-7</v>
      </c>
      <c r="AV39" s="250">
        <v>1.282598696113255E-3</v>
      </c>
      <c r="AW39" s="251">
        <v>0</v>
      </c>
      <c r="AX39" s="257">
        <v>0</v>
      </c>
      <c r="AY39" s="263">
        <v>1.2476899115377308E-8</v>
      </c>
      <c r="AZ39" s="263">
        <v>-5.8898234636168484E-6</v>
      </c>
      <c r="BA39" s="263">
        <v>1.3729715881239625E-3</v>
      </c>
      <c r="BB39" s="257">
        <v>0.96916189841298372</v>
      </c>
      <c r="BC39" s="246">
        <v>0</v>
      </c>
      <c r="BD39" s="247">
        <v>1162.7</v>
      </c>
      <c r="BE39" s="247">
        <v>-680</v>
      </c>
      <c r="BF39" s="247">
        <v>1817.3</v>
      </c>
      <c r="BG39" s="248">
        <v>2697.6</v>
      </c>
      <c r="BH39" s="280">
        <v>0</v>
      </c>
      <c r="BI39" s="250">
        <v>8.4701000000000004E-12</v>
      </c>
      <c r="BJ39" s="250">
        <v>-6.9332E-9</v>
      </c>
      <c r="BK39" s="250">
        <v>-7.6911000000000004E-4</v>
      </c>
      <c r="BL39" s="251">
        <v>2.96</v>
      </c>
      <c r="BM39" s="280">
        <v>0</v>
      </c>
      <c r="BN39" s="250">
        <v>-8.4701000000000004E-12</v>
      </c>
      <c r="BO39" s="250">
        <v>6.9351999999999998E-9</v>
      </c>
      <c r="BP39" s="250">
        <v>7.6911000000000004E-4</v>
      </c>
      <c r="BQ39" s="251">
        <v>-1.96</v>
      </c>
      <c r="BR39" s="280">
        <v>0</v>
      </c>
      <c r="BS39" s="250">
        <v>115.93633453166254</v>
      </c>
      <c r="BT39" s="250">
        <v>-50.682806632386821</v>
      </c>
      <c r="BU39" s="250">
        <v>835.20400954053628</v>
      </c>
      <c r="BV39" s="252">
        <v>0</v>
      </c>
      <c r="BW39" s="253">
        <v>0</v>
      </c>
      <c r="BX39" s="250">
        <v>81.83993016838815</v>
      </c>
      <c r="BY39" s="250">
        <v>20.396256883316592</v>
      </c>
      <c r="BZ39" s="250">
        <v>797.58225314893525</v>
      </c>
      <c r="CA39" s="252">
        <v>0</v>
      </c>
      <c r="CB39" s="246">
        <v>0</v>
      </c>
      <c r="CC39" s="247">
        <v>1162.7</v>
      </c>
      <c r="CD39" s="247">
        <v>-680</v>
      </c>
      <c r="CE39" s="247">
        <v>1817.3</v>
      </c>
      <c r="CF39" s="248">
        <v>2697.6</v>
      </c>
    </row>
    <row r="40" spans="1:84" s="281" customFormat="1" x14ac:dyDescent="0.25">
      <c r="A40" s="260" t="s">
        <v>103</v>
      </c>
      <c r="B40" s="257" t="s">
        <v>42</v>
      </c>
      <c r="C40" s="257" t="s">
        <v>43</v>
      </c>
      <c r="D40" s="257" t="s">
        <v>49</v>
      </c>
      <c r="E40" s="257" t="s">
        <v>174</v>
      </c>
      <c r="F40" s="257" t="s">
        <v>18</v>
      </c>
      <c r="G40" s="257" t="s">
        <v>106</v>
      </c>
      <c r="H40" s="278" t="str">
        <f>Master_Table[[#This Row],[LES-Type]]&amp;"-"&amp;Master_Table[[#This Row],[Nominal CCT+CRI]]&amp;Master_Table[[#This Row],[Tech]]</f>
        <v>18mm-2765GDP</v>
      </c>
      <c r="I40"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BXRV-TR-2765G-40A0-A-23</v>
      </c>
      <c r="J40" s="257">
        <v>900</v>
      </c>
      <c r="K40" s="259">
        <v>1400</v>
      </c>
      <c r="L40" s="260">
        <v>3650</v>
      </c>
      <c r="M40" s="261">
        <f>Master_Table[[#This Row],[Typical Lumens]]/(Master_Table[[#This Row],[Typical Voltage]]*Master_Table[[#This Row],[Typical Current]]/1000)</f>
        <v>115.21464646464645</v>
      </c>
      <c r="N40" s="257">
        <v>35.200000000000003</v>
      </c>
      <c r="O40" s="259">
        <v>-11.5</v>
      </c>
      <c r="P40" s="257">
        <v>0</v>
      </c>
      <c r="Q40" s="257">
        <v>9.2448663744205294E-10</v>
      </c>
      <c r="R40" s="257">
        <v>-3.3279418599256972E-6</v>
      </c>
      <c r="S40" s="257">
        <v>6.8486512961052452E-3</v>
      </c>
      <c r="T40" s="257">
        <v>31.057895981349841</v>
      </c>
      <c r="U40" s="260">
        <v>0</v>
      </c>
      <c r="V40" s="257">
        <v>-4.9754063026872942E-11</v>
      </c>
      <c r="W40" s="257">
        <v>-1.020265209108005E-7</v>
      </c>
      <c r="X40" s="257">
        <v>1.2432357709825986E-3</v>
      </c>
      <c r="Y40" s="259">
        <v>0</v>
      </c>
      <c r="Z40" s="260">
        <v>0</v>
      </c>
      <c r="AA40" s="257">
        <v>4.8117006622406727E-8</v>
      </c>
      <c r="AB40" s="257">
        <v>-1.4183045740663623E-5</v>
      </c>
      <c r="AC40" s="257">
        <v>-7.375323983295454E-4</v>
      </c>
      <c r="AD40" s="259">
        <v>1.0265508853176784</v>
      </c>
      <c r="AE40" s="269">
        <v>0</v>
      </c>
      <c r="AF40" s="270">
        <v>-5439.9</v>
      </c>
      <c r="AG40" s="270">
        <v>11628</v>
      </c>
      <c r="AH40" s="270">
        <v>-9982.9</v>
      </c>
      <c r="AI40" s="273">
        <v>6487.6</v>
      </c>
      <c r="AJ40" s="260">
        <v>4150</v>
      </c>
      <c r="AK40" s="261">
        <f>Master_Table[[#This Row],[Typical Lumens2]]/(Master_Table[[#This Row],[Typical Voltage2]]*Master_Table[[#This Row],[Typical Current]]/1000)</f>
        <v>128.8019863438858</v>
      </c>
      <c r="AL40" s="257">
        <v>35.799999999999997</v>
      </c>
      <c r="AM40" s="259">
        <v>-11.6</v>
      </c>
      <c r="AN40" s="260">
        <v>0</v>
      </c>
      <c r="AO40" s="257">
        <v>1.4797687785265915E-9</v>
      </c>
      <c r="AP40" s="257">
        <v>-4.4166826938951844E-6</v>
      </c>
      <c r="AQ40" s="257">
        <v>7.8657228120611322E-3</v>
      </c>
      <c r="AR40" s="259">
        <v>31.219611011654187</v>
      </c>
      <c r="AS40" s="260">
        <v>0</v>
      </c>
      <c r="AT40" s="257">
        <v>-1.1568343088322302E-11</v>
      </c>
      <c r="AU40" s="257">
        <v>-1.8013025233400333E-7</v>
      </c>
      <c r="AV40" s="257">
        <v>1.282598696113255E-3</v>
      </c>
      <c r="AW40" s="259">
        <v>0</v>
      </c>
      <c r="AX40" s="257">
        <v>0</v>
      </c>
      <c r="AY40" s="257">
        <v>1.2476899115377308E-8</v>
      </c>
      <c r="AZ40" s="257">
        <v>-5.8898234636168484E-6</v>
      </c>
      <c r="BA40" s="257">
        <v>1.3729715881239625E-3</v>
      </c>
      <c r="BB40" s="257">
        <v>0.96916189841298372</v>
      </c>
      <c r="BC40" s="269">
        <v>0</v>
      </c>
      <c r="BD40" s="270">
        <v>5439.9</v>
      </c>
      <c r="BE40" s="270">
        <v>-4691.3999999999996</v>
      </c>
      <c r="BF40" s="270">
        <v>3045.8</v>
      </c>
      <c r="BG40" s="273">
        <v>2693.2</v>
      </c>
      <c r="BH40" s="260">
        <v>0</v>
      </c>
      <c r="BI40" s="263">
        <v>-8.7960505630037875E-12</v>
      </c>
      <c r="BJ40" s="263">
        <v>1.877519843912848E-7</v>
      </c>
      <c r="BK40" s="263">
        <v>-1.3920927047815347E-3</v>
      </c>
      <c r="BL40" s="259">
        <v>3.5325761287865722</v>
      </c>
      <c r="BM40" s="260">
        <v>0</v>
      </c>
      <c r="BN40" s="263">
        <v>9.2087000000000005E-12</v>
      </c>
      <c r="BO40" s="263">
        <v>-1.9656000000000001E-7</v>
      </c>
      <c r="BP40" s="263">
        <v>1.4574E-3</v>
      </c>
      <c r="BQ40" s="259">
        <v>-2.6983000000000001</v>
      </c>
      <c r="BR40" s="260">
        <v>0</v>
      </c>
      <c r="BS40" s="257">
        <v>115.93633453166254</v>
      </c>
      <c r="BT40" s="257">
        <v>-50.682806632386821</v>
      </c>
      <c r="BU40" s="257">
        <v>835.20400954053628</v>
      </c>
      <c r="BV40" s="259">
        <v>0</v>
      </c>
      <c r="BW40" s="257">
        <v>0</v>
      </c>
      <c r="BX40" s="257">
        <v>81.83993016838815</v>
      </c>
      <c r="BY40" s="257">
        <v>20.396256883316592</v>
      </c>
      <c r="BZ40" s="257">
        <v>797.58225314893525</v>
      </c>
      <c r="CA40" s="259">
        <v>0</v>
      </c>
      <c r="CB40" s="269">
        <v>0</v>
      </c>
      <c r="CC40" s="270">
        <v>5439.9</v>
      </c>
      <c r="CD40" s="270">
        <v>-4691.3999999999996</v>
      </c>
      <c r="CE40" s="270">
        <v>3045.8</v>
      </c>
      <c r="CF40" s="273">
        <v>2693.2</v>
      </c>
    </row>
    <row r="41" spans="1:84" x14ac:dyDescent="0.25">
      <c r="A41" s="260" t="s">
        <v>103</v>
      </c>
      <c r="B41" s="257" t="s">
        <v>42</v>
      </c>
      <c r="C41" s="257" t="s">
        <v>43</v>
      </c>
      <c r="D41" s="257" t="s">
        <v>238</v>
      </c>
      <c r="E41" s="257" t="s">
        <v>174</v>
      </c>
      <c r="F41" s="257" t="s">
        <v>18</v>
      </c>
      <c r="G41" s="304" t="s">
        <v>106</v>
      </c>
      <c r="H41" s="360" t="str">
        <f>Master_Table[[#This Row],[LES-Type]]&amp;"-"&amp;Master_Table[[#This Row],[Nominal CCT+CRI]]&amp;Master_Table[[#This Row],[Tech]]</f>
        <v>18mm-2750SDP</v>
      </c>
      <c r="I41" s="360"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BXRV-TR-2750S-40A0-A-23</v>
      </c>
      <c r="J41" s="304">
        <v>900</v>
      </c>
      <c r="K41" s="357">
        <v>1400</v>
      </c>
      <c r="L41" s="359">
        <v>3103</v>
      </c>
      <c r="M41" s="261">
        <f>Master_Table[[#This Row],[Typical Lumens]]/(Master_Table[[#This Row],[Typical Voltage]]*Master_Table[[#This Row],[Typical Current]]/1000)</f>
        <v>97.948232323232318</v>
      </c>
      <c r="N41" s="257">
        <v>35.200000000000003</v>
      </c>
      <c r="O41" s="259">
        <v>-11.5</v>
      </c>
      <c r="P41" s="257">
        <v>0</v>
      </c>
      <c r="Q41" s="257">
        <v>9.2448663744205294E-10</v>
      </c>
      <c r="R41" s="257">
        <v>-3.3279418599256972E-6</v>
      </c>
      <c r="S41" s="257">
        <v>6.8486512961052452E-3</v>
      </c>
      <c r="T41" s="257">
        <v>31.057895981349841</v>
      </c>
      <c r="U41" s="260">
        <v>0</v>
      </c>
      <c r="V41" s="257">
        <v>-4.9754063026872942E-11</v>
      </c>
      <c r="W41" s="257">
        <v>-1.020265209108005E-7</v>
      </c>
      <c r="X41" s="257">
        <v>1.2432357709825986E-3</v>
      </c>
      <c r="Y41" s="259">
        <v>0</v>
      </c>
      <c r="Z41" s="260">
        <v>0</v>
      </c>
      <c r="AA41" s="257">
        <v>4.8117006622406727E-8</v>
      </c>
      <c r="AB41" s="257">
        <v>-1.4183045740663623E-5</v>
      </c>
      <c r="AC41" s="257">
        <v>-7.375323983295454E-4</v>
      </c>
      <c r="AD41" s="259">
        <v>1.0265508853176784</v>
      </c>
      <c r="AE41" s="269">
        <v>0</v>
      </c>
      <c r="AF41" s="270">
        <v>-213.33</v>
      </c>
      <c r="AG41" s="270">
        <v>27.428999999999998</v>
      </c>
      <c r="AH41" s="270">
        <v>-2114.1</v>
      </c>
      <c r="AI41" s="273">
        <v>5001</v>
      </c>
      <c r="AJ41" s="220">
        <v>3528</v>
      </c>
      <c r="AK41" s="261">
        <f>Master_Table[[#This Row],[Typical Lumens2]]/(Master_Table[[#This Row],[Typical Voltage2]]*Master_Table[[#This Row],[Typical Current]]/1000)</f>
        <v>109.49720670391062</v>
      </c>
      <c r="AL41" s="257">
        <v>35.799999999999997</v>
      </c>
      <c r="AM41" s="259">
        <v>-11.6</v>
      </c>
      <c r="AN41" s="260">
        <v>0</v>
      </c>
      <c r="AO41" s="257">
        <v>1.4797687785265915E-9</v>
      </c>
      <c r="AP41" s="257">
        <v>-4.4166826938951844E-6</v>
      </c>
      <c r="AQ41" s="257">
        <v>7.8657228120611322E-3</v>
      </c>
      <c r="AR41" s="259">
        <v>31.219611011654187</v>
      </c>
      <c r="AS41" s="260">
        <v>0</v>
      </c>
      <c r="AT41" s="257">
        <v>-1.1568343088322302E-11</v>
      </c>
      <c r="AU41" s="257">
        <v>-1.8013025233400333E-7</v>
      </c>
      <c r="AV41" s="257">
        <v>1.282598696113255E-3</v>
      </c>
      <c r="AW41" s="259">
        <v>0</v>
      </c>
      <c r="AX41" s="257">
        <v>0</v>
      </c>
      <c r="AY41" s="257">
        <v>1.2476899115377308E-8</v>
      </c>
      <c r="AZ41" s="257">
        <v>-5.8898234636168484E-6</v>
      </c>
      <c r="BA41" s="257">
        <v>1.3729715881239625E-3</v>
      </c>
      <c r="BB41" s="257">
        <v>0.96916189841298372</v>
      </c>
      <c r="BC41" s="269">
        <v>0</v>
      </c>
      <c r="BD41" s="270">
        <v>-208</v>
      </c>
      <c r="BE41" s="270">
        <v>195.43</v>
      </c>
      <c r="BF41" s="270">
        <v>2233.6</v>
      </c>
      <c r="BG41" s="273">
        <v>2777.9</v>
      </c>
      <c r="BH41" s="260">
        <v>0</v>
      </c>
      <c r="BI41" s="263">
        <v>5.1361610246156171E-12</v>
      </c>
      <c r="BJ41" s="263">
        <v>-8.370754744191012E-8</v>
      </c>
      <c r="BK41" s="263">
        <v>-2.7462394021744495E-5</v>
      </c>
      <c r="BL41" s="259">
        <v>1.5884578291099047</v>
      </c>
      <c r="BM41" s="260">
        <v>0</v>
      </c>
      <c r="BN41" s="263">
        <v>-5.1114000000000002E-12</v>
      </c>
      <c r="BO41" s="263">
        <v>8.3304000000000003E-8</v>
      </c>
      <c r="BP41" s="263">
        <v>2.7330000000000001E-5</v>
      </c>
      <c r="BQ41" s="264">
        <v>-0.58077999999999996</v>
      </c>
      <c r="BR41" s="260">
        <v>0</v>
      </c>
      <c r="BS41" s="257">
        <v>115.93633453166254</v>
      </c>
      <c r="BT41" s="257">
        <v>-50.682806632386821</v>
      </c>
      <c r="BU41" s="257">
        <v>835.20400954053628</v>
      </c>
      <c r="BV41" s="259">
        <v>0</v>
      </c>
      <c r="BW41" s="257">
        <v>0</v>
      </c>
      <c r="BX41" s="257">
        <v>81.83993016838815</v>
      </c>
      <c r="BY41" s="257">
        <v>20.396256883316592</v>
      </c>
      <c r="BZ41" s="257">
        <v>797.58225314893525</v>
      </c>
      <c r="CA41" s="259">
        <v>0</v>
      </c>
      <c r="CB41" s="269">
        <v>0</v>
      </c>
      <c r="CC41" s="270">
        <v>-208</v>
      </c>
      <c r="CD41" s="270">
        <v>195.43</v>
      </c>
      <c r="CE41" s="270">
        <v>2233.6</v>
      </c>
      <c r="CF41" s="273">
        <v>2777.9</v>
      </c>
    </row>
    <row r="42" spans="1:84" x14ac:dyDescent="0.25">
      <c r="A42" s="260" t="s">
        <v>103</v>
      </c>
      <c r="B42" s="257" t="s">
        <v>42</v>
      </c>
      <c r="C42" s="257" t="s">
        <v>43</v>
      </c>
      <c r="D42" s="257" t="s">
        <v>239</v>
      </c>
      <c r="E42" s="257" t="s">
        <v>174</v>
      </c>
      <c r="F42" s="257" t="s">
        <v>18</v>
      </c>
      <c r="G42" s="304" t="s">
        <v>106</v>
      </c>
      <c r="H42" s="360" t="str">
        <f>Master_Table[[#This Row],[LES-Type]]&amp;"-"&amp;Master_Table[[#This Row],[Nominal CCT+CRI]]&amp;Master_Table[[#This Row],[Tech]]</f>
        <v>18mm-2765SDP</v>
      </c>
      <c r="I42" s="360"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BXRV-TR-2765S-40A0-A-23</v>
      </c>
      <c r="J42" s="304">
        <v>900</v>
      </c>
      <c r="K42" s="357">
        <v>1400</v>
      </c>
      <c r="L42" s="359">
        <v>3103</v>
      </c>
      <c r="M42" s="261">
        <f>Master_Table[[#This Row],[Typical Lumens]]/(Master_Table[[#This Row],[Typical Voltage]]*Master_Table[[#This Row],[Typical Current]]/1000)</f>
        <v>97.948232323232318</v>
      </c>
      <c r="N42" s="257">
        <v>35.200000000000003</v>
      </c>
      <c r="O42" s="259">
        <v>-11.5</v>
      </c>
      <c r="P42" s="257">
        <v>0</v>
      </c>
      <c r="Q42" s="257">
        <v>9.2448663744205294E-10</v>
      </c>
      <c r="R42" s="257">
        <v>-3.3279418599256972E-6</v>
      </c>
      <c r="S42" s="257">
        <v>6.8486512961052452E-3</v>
      </c>
      <c r="T42" s="257">
        <v>31.057895981349841</v>
      </c>
      <c r="U42" s="260">
        <v>0</v>
      </c>
      <c r="V42" s="257">
        <v>-4.9754063026872942E-11</v>
      </c>
      <c r="W42" s="257">
        <v>-1.020265209108005E-7</v>
      </c>
      <c r="X42" s="257">
        <v>1.2432357709825986E-3</v>
      </c>
      <c r="Y42" s="259">
        <v>0</v>
      </c>
      <c r="Z42" s="260">
        <v>0</v>
      </c>
      <c r="AA42" s="257">
        <v>4.8117006622406727E-8</v>
      </c>
      <c r="AB42" s="257">
        <v>-1.4183045740663623E-5</v>
      </c>
      <c r="AC42" s="257">
        <v>-7.375323983295454E-4</v>
      </c>
      <c r="AD42" s="259">
        <v>1.0265508853176784</v>
      </c>
      <c r="AE42" s="269">
        <v>0</v>
      </c>
      <c r="AF42" s="270">
        <v>-350.67</v>
      </c>
      <c r="AG42" s="270">
        <v>2166.4</v>
      </c>
      <c r="AH42" s="270">
        <v>-5615</v>
      </c>
      <c r="AI42" s="273">
        <v>6509.6</v>
      </c>
      <c r="AJ42" s="93">
        <v>3528</v>
      </c>
      <c r="AK42" s="261">
        <f>Master_Table[[#This Row],[Typical Lumens2]]/(Master_Table[[#This Row],[Typical Voltage2]]*Master_Table[[#This Row],[Typical Current]]/1000)</f>
        <v>109.49720670391062</v>
      </c>
      <c r="AL42" s="257">
        <v>35.799999999999997</v>
      </c>
      <c r="AM42" s="259">
        <v>-11.6</v>
      </c>
      <c r="AN42" s="260">
        <v>0</v>
      </c>
      <c r="AO42" s="257">
        <v>1.4797687785265915E-9</v>
      </c>
      <c r="AP42" s="257">
        <v>-4.4166826938951844E-6</v>
      </c>
      <c r="AQ42" s="257">
        <v>7.8657228120611322E-3</v>
      </c>
      <c r="AR42" s="259">
        <v>31.219611011654187</v>
      </c>
      <c r="AS42" s="260">
        <v>0</v>
      </c>
      <c r="AT42" s="257">
        <v>-1.1568343088322302E-11</v>
      </c>
      <c r="AU42" s="257">
        <v>-1.8013025233400333E-7</v>
      </c>
      <c r="AV42" s="257">
        <v>1.282598696113255E-3</v>
      </c>
      <c r="AW42" s="259">
        <v>0</v>
      </c>
      <c r="AX42" s="257">
        <v>0</v>
      </c>
      <c r="AY42" s="257">
        <v>1.2476899115377308E-8</v>
      </c>
      <c r="AZ42" s="257">
        <v>-5.8898234636168484E-6</v>
      </c>
      <c r="BA42" s="257">
        <v>1.3729715881239625E-3</v>
      </c>
      <c r="BB42" s="257">
        <v>0.96916189841298372</v>
      </c>
      <c r="BC42" s="269">
        <v>0</v>
      </c>
      <c r="BD42" s="270">
        <v>3042.3</v>
      </c>
      <c r="BE42" s="270">
        <v>-1225.5</v>
      </c>
      <c r="BF42" s="270">
        <v>1614</v>
      </c>
      <c r="BG42" s="273">
        <v>2847.6</v>
      </c>
      <c r="BH42" s="260">
        <v>0</v>
      </c>
      <c r="BI42" s="263">
        <v>-1.3255024437306732E-11</v>
      </c>
      <c r="BJ42" s="263">
        <v>2.8292892627591423E-7</v>
      </c>
      <c r="BK42" s="263">
        <v>-2.0977849875585945E-3</v>
      </c>
      <c r="BL42" s="259">
        <v>5.3233417177768301</v>
      </c>
      <c r="BM42" s="260">
        <v>0</v>
      </c>
      <c r="BN42" s="263">
        <v>9.2087000000000005E-12</v>
      </c>
      <c r="BO42" s="263">
        <v>-1.9656000000000001E-7</v>
      </c>
      <c r="BP42" s="263">
        <v>1.4574E-3</v>
      </c>
      <c r="BQ42" s="264">
        <v>-2.6983000000000001</v>
      </c>
      <c r="BR42" s="260">
        <v>0</v>
      </c>
      <c r="BS42" s="257">
        <v>115.93633453166254</v>
      </c>
      <c r="BT42" s="257">
        <v>-50.682806632386821</v>
      </c>
      <c r="BU42" s="257">
        <v>835.20400954053628</v>
      </c>
      <c r="BV42" s="259">
        <v>0</v>
      </c>
      <c r="BW42" s="257">
        <v>0</v>
      </c>
      <c r="BX42" s="257">
        <v>81.83993016838815</v>
      </c>
      <c r="BY42" s="257">
        <v>20.396256883316592</v>
      </c>
      <c r="BZ42" s="257">
        <v>797.58225314893525</v>
      </c>
      <c r="CA42" s="259">
        <v>0</v>
      </c>
      <c r="CB42" s="269">
        <v>0</v>
      </c>
      <c r="CC42" s="270">
        <v>3042.3</v>
      </c>
      <c r="CD42" s="270">
        <v>-1225.5</v>
      </c>
      <c r="CE42" s="270">
        <v>1614</v>
      </c>
      <c r="CF42" s="273">
        <v>2847.6</v>
      </c>
    </row>
    <row r="43" spans="1:84" x14ac:dyDescent="0.25">
      <c r="A43" s="260" t="s">
        <v>103</v>
      </c>
      <c r="B43" s="257" t="s">
        <v>42</v>
      </c>
      <c r="C43" s="257" t="s">
        <v>43</v>
      </c>
      <c r="D43" s="257" t="s">
        <v>242</v>
      </c>
      <c r="E43" s="257" t="s">
        <v>174</v>
      </c>
      <c r="F43" s="257" t="s">
        <v>18</v>
      </c>
      <c r="G43" s="304" t="s">
        <v>106</v>
      </c>
      <c r="H43" s="360" t="str">
        <f>Master_Table[[#This Row],[LES-Type]]&amp;"-"&amp;Master_Table[[#This Row],[Nominal CCT+CRI]]&amp;Master_Table[[#This Row],[Tech]]</f>
        <v>18mm-1840GDP</v>
      </c>
      <c r="I43" s="360"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BXRV-TR-1840G-40A0-A-23</v>
      </c>
      <c r="J43" s="304">
        <v>900</v>
      </c>
      <c r="K43" s="357">
        <v>1400</v>
      </c>
      <c r="L43" s="359">
        <v>2550</v>
      </c>
      <c r="M43" s="261">
        <f>Master_Table[[#This Row],[Typical Lumens]]/(Master_Table[[#This Row],[Typical Voltage]]*Master_Table[[#This Row],[Typical Current]]/1000)</f>
        <v>80.492424242424235</v>
      </c>
      <c r="N43" s="257">
        <v>35.200000000000003</v>
      </c>
      <c r="O43" s="259">
        <v>-11.5</v>
      </c>
      <c r="P43" s="257">
        <v>0</v>
      </c>
      <c r="Q43" s="257">
        <v>9.2448663744205294E-10</v>
      </c>
      <c r="R43" s="257">
        <v>-3.3279418599256972E-6</v>
      </c>
      <c r="S43" s="257">
        <v>6.8486512961052452E-3</v>
      </c>
      <c r="T43" s="257">
        <v>31.057895981349841</v>
      </c>
      <c r="U43" s="260">
        <v>0</v>
      </c>
      <c r="V43" s="257">
        <v>-4.9754063026872942E-11</v>
      </c>
      <c r="W43" s="257">
        <v>-1.020265209108005E-7</v>
      </c>
      <c r="X43" s="257">
        <v>1.2432357709825986E-3</v>
      </c>
      <c r="Y43" s="259">
        <v>0</v>
      </c>
      <c r="Z43" s="260">
        <v>0</v>
      </c>
      <c r="AA43" s="257">
        <v>4.8117006622406727E-8</v>
      </c>
      <c r="AB43" s="257">
        <v>-1.4183045740663623E-5</v>
      </c>
      <c r="AC43" s="257">
        <v>-7.375323983295454E-4</v>
      </c>
      <c r="AD43" s="259">
        <v>1.0265508853176784</v>
      </c>
      <c r="AE43" s="270">
        <v>0</v>
      </c>
      <c r="AF43" s="270">
        <v>277.33</v>
      </c>
      <c r="AG43" s="270">
        <v>-962.29</v>
      </c>
      <c r="AH43" s="270">
        <v>-1515</v>
      </c>
      <c r="AI43" s="273">
        <v>4000.9</v>
      </c>
      <c r="AJ43" s="93">
        <v>4000</v>
      </c>
      <c r="AK43" s="261">
        <f>Master_Table[[#This Row],[Typical Lumens2]]/(Master_Table[[#This Row],[Typical Voltage2]]*Master_Table[[#This Row],[Typical Current]]/1000)</f>
        <v>124.14649286157666</v>
      </c>
      <c r="AL43" s="257">
        <v>35.799999999999997</v>
      </c>
      <c r="AM43" s="259">
        <v>-11.6</v>
      </c>
      <c r="AN43" s="260">
        <v>0</v>
      </c>
      <c r="AO43" s="257">
        <v>1.4797687785265915E-9</v>
      </c>
      <c r="AP43" s="257">
        <v>-4.4166826938951844E-6</v>
      </c>
      <c r="AQ43" s="257">
        <v>7.8657228120611322E-3</v>
      </c>
      <c r="AR43" s="259">
        <v>31.219611011654187</v>
      </c>
      <c r="AS43" s="260">
        <v>0</v>
      </c>
      <c r="AT43" s="257">
        <v>-1.1568343088322302E-11</v>
      </c>
      <c r="AU43" s="257">
        <v>-1.8013025233400333E-7</v>
      </c>
      <c r="AV43" s="257">
        <v>1.282598696113255E-3</v>
      </c>
      <c r="AW43" s="259">
        <v>0</v>
      </c>
      <c r="AX43" s="257">
        <v>0</v>
      </c>
      <c r="AY43" s="257">
        <v>1.2476899115377308E-8</v>
      </c>
      <c r="AZ43" s="257">
        <v>-5.8898234636168484E-6</v>
      </c>
      <c r="BA43" s="257">
        <v>1.3729715881239625E-3</v>
      </c>
      <c r="BB43" s="257">
        <v>0.96916189841298372</v>
      </c>
      <c r="BC43" s="270">
        <v>0</v>
      </c>
      <c r="BD43" s="270">
        <v>-2.7199999999999998E-2</v>
      </c>
      <c r="BE43" s="270">
        <v>37.713999999999999</v>
      </c>
      <c r="BF43" s="270">
        <v>2435.3000000000002</v>
      </c>
      <c r="BG43" s="270">
        <v>1837.8</v>
      </c>
      <c r="BH43" s="260">
        <v>0</v>
      </c>
      <c r="BI43" s="263">
        <v>-2.3379143978853158E-11</v>
      </c>
      <c r="BJ43" s="263">
        <v>1.5306565289819192E-7</v>
      </c>
      <c r="BK43" s="263">
        <v>-7.2586924275767472E-4</v>
      </c>
      <c r="BL43" s="259">
        <v>1.9517603165300583</v>
      </c>
      <c r="BM43" s="260">
        <v>0</v>
      </c>
      <c r="BN43" s="263">
        <v>2.3279E-11</v>
      </c>
      <c r="BO43" s="263">
        <v>-1.5241E-7</v>
      </c>
      <c r="BP43" s="263">
        <v>7.2276000000000003E-4</v>
      </c>
      <c r="BQ43" s="264">
        <v>-0.94343999999999995</v>
      </c>
      <c r="BR43" s="260">
        <v>0</v>
      </c>
      <c r="BS43" s="257">
        <v>115.93633453166254</v>
      </c>
      <c r="BT43" s="257">
        <v>-50.682806632386821</v>
      </c>
      <c r="BU43" s="257">
        <v>835.20400954053628</v>
      </c>
      <c r="BV43" s="259">
        <v>0</v>
      </c>
      <c r="BW43" s="257">
        <v>0</v>
      </c>
      <c r="BX43" s="257">
        <v>81.83993016838815</v>
      </c>
      <c r="BY43" s="257">
        <v>20.396256883316592</v>
      </c>
      <c r="BZ43" s="257">
        <v>797.58225314893525</v>
      </c>
      <c r="CA43" s="259">
        <v>0</v>
      </c>
      <c r="CB43" s="270">
        <v>0</v>
      </c>
      <c r="CC43" s="270">
        <v>-2.7199999999999998E-2</v>
      </c>
      <c r="CD43" s="270">
        <v>37.713999999999999</v>
      </c>
      <c r="CE43" s="270">
        <v>2435.3000000000002</v>
      </c>
      <c r="CF43" s="273">
        <v>1837.8</v>
      </c>
    </row>
    <row r="44" spans="1:84" x14ac:dyDescent="0.25">
      <c r="A44" s="260" t="s">
        <v>103</v>
      </c>
      <c r="B44" s="257" t="s">
        <v>42</v>
      </c>
      <c r="C44" s="257" t="s">
        <v>43</v>
      </c>
      <c r="D44" s="257" t="s">
        <v>243</v>
      </c>
      <c r="E44" s="257" t="s">
        <v>174</v>
      </c>
      <c r="F44" s="257" t="s">
        <v>18</v>
      </c>
      <c r="G44" s="304" t="s">
        <v>106</v>
      </c>
      <c r="H44" s="360" t="str">
        <f>Master_Table[[#This Row],[LES-Type]]&amp;"-"&amp;Master_Table[[#This Row],[Nominal CCT+CRI]]&amp;Master_Table[[#This Row],[Tech]]</f>
        <v>18mm-1840SDP</v>
      </c>
      <c r="I44" s="360"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BXRV-TR-1840S-40A0-A-23</v>
      </c>
      <c r="J44" s="304">
        <v>900</v>
      </c>
      <c r="K44" s="357">
        <v>1400</v>
      </c>
      <c r="L44" s="359">
        <v>2168</v>
      </c>
      <c r="M44" s="261">
        <f>Master_Table[[#This Row],[Typical Lumens]]/(Master_Table[[#This Row],[Typical Voltage]]*Master_Table[[#This Row],[Typical Current]]/1000)</f>
        <v>68.434343434343432</v>
      </c>
      <c r="N44" s="257">
        <v>35.200000000000003</v>
      </c>
      <c r="O44" s="259">
        <v>-11.5</v>
      </c>
      <c r="P44" s="257">
        <v>0</v>
      </c>
      <c r="Q44" s="257">
        <v>9.2448663744205294E-10</v>
      </c>
      <c r="R44" s="257">
        <v>-3.3279418599256972E-6</v>
      </c>
      <c r="S44" s="257">
        <v>6.8486512961052452E-3</v>
      </c>
      <c r="T44" s="257">
        <v>31.057895981349841</v>
      </c>
      <c r="U44" s="260">
        <v>0</v>
      </c>
      <c r="V44" s="257">
        <v>-4.9754063026872942E-11</v>
      </c>
      <c r="W44" s="257">
        <v>-1.020265209108005E-7</v>
      </c>
      <c r="X44" s="257">
        <v>1.2432357709825986E-3</v>
      </c>
      <c r="Y44" s="259">
        <v>0</v>
      </c>
      <c r="Z44" s="260">
        <v>0</v>
      </c>
      <c r="AA44" s="257">
        <v>4.8117006622406727E-8</v>
      </c>
      <c r="AB44" s="257">
        <v>-1.4183045740663623E-5</v>
      </c>
      <c r="AC44" s="257">
        <v>-7.375323983295454E-4</v>
      </c>
      <c r="AD44" s="259">
        <v>1.0265508853176784</v>
      </c>
      <c r="AE44" s="164">
        <v>0</v>
      </c>
      <c r="AF44" s="91">
        <v>-1162.7</v>
      </c>
      <c r="AG44" s="91">
        <v>2808</v>
      </c>
      <c r="AH44" s="91">
        <v>-3945.3</v>
      </c>
      <c r="AI44" s="170">
        <v>4997.6000000000004</v>
      </c>
      <c r="AJ44" s="93">
        <v>3400</v>
      </c>
      <c r="AK44" s="261">
        <f>Master_Table[[#This Row],[Typical Lumens2]]/(Master_Table[[#This Row],[Typical Voltage2]]*Master_Table[[#This Row],[Typical Current]]/1000)</f>
        <v>105.52451893234017</v>
      </c>
      <c r="AL44" s="257">
        <v>35.799999999999997</v>
      </c>
      <c r="AM44" s="259">
        <v>-11.6</v>
      </c>
      <c r="AN44" s="260">
        <v>0</v>
      </c>
      <c r="AO44" s="257">
        <v>1.4797687785265915E-9</v>
      </c>
      <c r="AP44" s="257">
        <v>-4.4166826938951844E-6</v>
      </c>
      <c r="AQ44" s="257">
        <v>7.8657228120611322E-3</v>
      </c>
      <c r="AR44" s="259">
        <v>31.219611011654187</v>
      </c>
      <c r="AS44" s="260">
        <v>0</v>
      </c>
      <c r="AT44" s="257">
        <v>-1.1568343088322302E-11</v>
      </c>
      <c r="AU44" s="257">
        <v>-1.8013025233400333E-7</v>
      </c>
      <c r="AV44" s="257">
        <v>1.282598696113255E-3</v>
      </c>
      <c r="AW44" s="259">
        <v>0</v>
      </c>
      <c r="AX44" s="257">
        <v>0</v>
      </c>
      <c r="AY44" s="257">
        <v>1.2476899115377308E-8</v>
      </c>
      <c r="AZ44" s="257">
        <v>-5.8898234636168484E-6</v>
      </c>
      <c r="BA44" s="257">
        <v>1.3729715881239625E-3</v>
      </c>
      <c r="BB44" s="257">
        <v>0.96916189841298372</v>
      </c>
      <c r="BC44" s="164">
        <v>0</v>
      </c>
      <c r="BD44" s="91">
        <v>-2.7199999999999998E-2</v>
      </c>
      <c r="BE44" s="91">
        <v>37.713999999999999</v>
      </c>
      <c r="BF44" s="91">
        <v>2435.3000000000002</v>
      </c>
      <c r="BG44" s="170">
        <v>1837.8</v>
      </c>
      <c r="BH44" s="93">
        <v>0</v>
      </c>
      <c r="BI44" s="103">
        <v>-7.4265481647119964E-11</v>
      </c>
      <c r="BJ44" s="103">
        <v>4.8622372343475043E-7</v>
      </c>
      <c r="BK44" s="103">
        <v>-2.3057742821973636E-3</v>
      </c>
      <c r="BL44" s="95">
        <v>6.1999027893385863</v>
      </c>
      <c r="BM44" s="93">
        <v>0</v>
      </c>
      <c r="BN44" s="103">
        <v>2.3279E-11</v>
      </c>
      <c r="BO44" s="103">
        <v>-1.5241E-7</v>
      </c>
      <c r="BP44" s="103">
        <v>7.2276000000000003E-4</v>
      </c>
      <c r="BQ44" s="95">
        <v>-0.94343999999999995</v>
      </c>
      <c r="BR44" s="260">
        <v>0</v>
      </c>
      <c r="BS44" s="257">
        <v>115.93633453166254</v>
      </c>
      <c r="BT44" s="257">
        <v>-50.682806632386821</v>
      </c>
      <c r="BU44" s="257">
        <v>835.20400954053628</v>
      </c>
      <c r="BV44" s="259">
        <v>0</v>
      </c>
      <c r="BW44" s="257">
        <v>0</v>
      </c>
      <c r="BX44" s="257">
        <v>81.83993016838815</v>
      </c>
      <c r="BY44" s="257">
        <v>20.396256883316592</v>
      </c>
      <c r="BZ44" s="257">
        <v>797.58225314893525</v>
      </c>
      <c r="CA44" s="259">
        <v>0</v>
      </c>
      <c r="CB44" s="164">
        <v>0</v>
      </c>
      <c r="CC44" s="91">
        <v>-2.7199999999999998E-2</v>
      </c>
      <c r="CD44" s="91">
        <v>37.713999999999999</v>
      </c>
      <c r="CE44" s="91">
        <v>2435.3000000000002</v>
      </c>
      <c r="CF44" s="170">
        <v>1837.8</v>
      </c>
    </row>
    <row r="45" spans="1:84" ht="16.5" thickBot="1" x14ac:dyDescent="0.3">
      <c r="A45" s="96"/>
      <c r="B45" s="97"/>
      <c r="C45" s="97"/>
      <c r="D45" s="97"/>
      <c r="E45" s="97"/>
      <c r="F45" s="97"/>
      <c r="G45" s="97"/>
      <c r="H45" s="148"/>
      <c r="I45" s="148"/>
      <c r="J45" s="97"/>
      <c r="K45" s="98"/>
      <c r="L45" s="96"/>
      <c r="M45" s="151"/>
      <c r="N45" s="97"/>
      <c r="O45" s="95"/>
      <c r="P45" s="97"/>
      <c r="Q45" s="97"/>
      <c r="R45" s="97"/>
      <c r="S45" s="97"/>
      <c r="T45" s="97"/>
      <c r="U45" s="96"/>
      <c r="V45" s="97"/>
      <c r="W45" s="97"/>
      <c r="X45" s="97"/>
      <c r="Y45" s="98"/>
      <c r="Z45" s="96"/>
      <c r="AA45" s="97"/>
      <c r="AB45" s="97"/>
      <c r="AC45" s="97"/>
      <c r="AD45" s="98"/>
      <c r="AE45" s="164"/>
      <c r="AF45" s="91"/>
      <c r="AG45" s="91"/>
      <c r="AH45" s="91"/>
      <c r="AI45" s="170"/>
      <c r="AJ45" s="96"/>
      <c r="AK45" s="151"/>
      <c r="AL45" s="97"/>
      <c r="AM45" s="95"/>
      <c r="AN45" s="96"/>
      <c r="AO45" s="97"/>
      <c r="AP45" s="97"/>
      <c r="AQ45" s="97"/>
      <c r="AR45" s="98"/>
      <c r="AS45" s="96"/>
      <c r="AT45" s="97"/>
      <c r="AU45" s="97"/>
      <c r="AV45" s="97"/>
      <c r="AW45" s="98"/>
      <c r="AX45" s="150"/>
      <c r="AY45" s="150"/>
      <c r="AZ45" s="150"/>
      <c r="BA45" s="150"/>
      <c r="BB45" s="150"/>
      <c r="BC45" s="164"/>
      <c r="BD45" s="91"/>
      <c r="BE45" s="91"/>
      <c r="BF45" s="91"/>
      <c r="BG45" s="170"/>
      <c r="BH45" s="93"/>
      <c r="BI45" s="103"/>
      <c r="BJ45" s="103"/>
      <c r="BK45" s="103"/>
      <c r="BL45" s="95"/>
      <c r="BM45" s="93"/>
      <c r="BN45" s="103"/>
      <c r="BO45" s="103"/>
      <c r="BP45" s="103"/>
      <c r="BQ45" s="154"/>
      <c r="BR45" s="96"/>
      <c r="BS45" s="97"/>
      <c r="BT45" s="97"/>
      <c r="BU45" s="97"/>
      <c r="BV45" s="98"/>
      <c r="BW45" s="97"/>
      <c r="BX45" s="97"/>
      <c r="BY45" s="97"/>
      <c r="BZ45" s="97"/>
      <c r="CA45" s="98"/>
      <c r="CB45" s="164"/>
      <c r="CC45" s="91"/>
      <c r="CD45" s="91"/>
      <c r="CE45" s="91"/>
      <c r="CF45" s="170"/>
    </row>
    <row r="46" spans="1:84" s="281" customFormat="1" x14ac:dyDescent="0.25">
      <c r="A46" s="280" t="s">
        <v>104</v>
      </c>
      <c r="B46" s="253" t="s">
        <v>42</v>
      </c>
      <c r="C46" s="253" t="s">
        <v>43</v>
      </c>
      <c r="D46" s="233" t="s">
        <v>41</v>
      </c>
      <c r="E46" s="253" t="s">
        <v>175</v>
      </c>
      <c r="F46" s="253" t="s">
        <v>18</v>
      </c>
      <c r="G46" s="253" t="s">
        <v>106</v>
      </c>
      <c r="H46" s="274" t="str">
        <f>Master_Table[[#This Row],[LES-Type]]&amp;"-"&amp;Master_Table[[#This Row],[Nominal CCT+CRI]]&amp;Master_Table[[#This Row],[Tech]]</f>
        <v>22mm-2750GDP</v>
      </c>
      <c r="I46" s="27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BXRV-TR-2750G-65A0-A-23</v>
      </c>
      <c r="J46" s="253">
        <v>900</v>
      </c>
      <c r="K46" s="251">
        <v>1400</v>
      </c>
      <c r="L46" s="280">
        <v>5500</v>
      </c>
      <c r="M46" s="275">
        <f>Master_Table[[#This Row],[Typical Lumens]]/(Master_Table[[#This Row],[Typical Voltage]]*Master_Table[[#This Row],[Typical Current]]/1000)</f>
        <v>115.96036263967953</v>
      </c>
      <c r="N46" s="253">
        <v>52.7</v>
      </c>
      <c r="O46" s="251">
        <v>-17.8</v>
      </c>
      <c r="P46" s="257">
        <v>0</v>
      </c>
      <c r="Q46" s="263">
        <v>1.4380913179342194E-9</v>
      </c>
      <c r="R46" s="263">
        <v>-5.0964132593551549E-6</v>
      </c>
      <c r="S46" s="263">
        <v>1.0287643509582034E-2</v>
      </c>
      <c r="T46" s="263">
        <v>46.520847010679802</v>
      </c>
      <c r="U46" s="330">
        <v>0</v>
      </c>
      <c r="V46" s="331">
        <v>-4.4675792493991844E-11</v>
      </c>
      <c r="W46" s="331">
        <v>-8.3914927870892933E-8</v>
      </c>
      <c r="X46" s="331">
        <v>1.2228219381150481E-3</v>
      </c>
      <c r="Y46" s="332">
        <v>0</v>
      </c>
      <c r="Z46" s="333">
        <v>0</v>
      </c>
      <c r="AA46" s="334">
        <v>7.7472155833943135E-9</v>
      </c>
      <c r="AB46" s="334">
        <v>-4.9951995948345892E-6</v>
      </c>
      <c r="AC46" s="334">
        <v>-1.2987378910136827E-3</v>
      </c>
      <c r="AD46" s="335">
        <v>1.0354693967786233</v>
      </c>
      <c r="AE46" s="246">
        <v>0</v>
      </c>
      <c r="AF46" s="247">
        <v>-1162.7</v>
      </c>
      <c r="AG46" s="247">
        <v>2808</v>
      </c>
      <c r="AH46" s="247">
        <v>-3945.3</v>
      </c>
      <c r="AI46" s="248">
        <v>4997.6000000000004</v>
      </c>
      <c r="AJ46" s="253">
        <v>6150</v>
      </c>
      <c r="AK46" s="275">
        <f>Master_Table[[#This Row],[Typical Lumens2]]/(Master_Table[[#This Row],[Typical Voltage2]]*Master_Table[[#This Row],[Typical Current]]/1000)</f>
        <v>127.48756218905473</v>
      </c>
      <c r="AL46" s="253">
        <v>53.6</v>
      </c>
      <c r="AM46" s="251">
        <v>-17.899999999999999</v>
      </c>
      <c r="AN46" s="280">
        <v>0</v>
      </c>
      <c r="AO46" s="250">
        <v>1.4202920183652849E-9</v>
      </c>
      <c r="AP46" s="250">
        <v>-5.0861098111383446E-6</v>
      </c>
      <c r="AQ46" s="250">
        <v>1.0961652796255569E-2</v>
      </c>
      <c r="AR46" s="252">
        <v>46.818868549003753</v>
      </c>
      <c r="AS46" s="342">
        <v>0</v>
      </c>
      <c r="AT46" s="342">
        <v>-5.4054949890771031E-11</v>
      </c>
      <c r="AU46" s="342">
        <v>-7.5778070083073677E-8</v>
      </c>
      <c r="AV46" s="342">
        <v>1.2230958835974018E-3</v>
      </c>
      <c r="AW46" s="342">
        <v>0</v>
      </c>
      <c r="AX46" s="280">
        <v>0</v>
      </c>
      <c r="AY46" s="250">
        <v>1.9463396326706002E-8</v>
      </c>
      <c r="AZ46" s="250">
        <v>-5.987182814536352E-6</v>
      </c>
      <c r="BA46" s="250">
        <v>-1.5804818050336744E-3</v>
      </c>
      <c r="BB46" s="251">
        <v>1.0429499188173224</v>
      </c>
      <c r="BC46" s="246">
        <v>0</v>
      </c>
      <c r="BD46" s="247">
        <v>1162.7</v>
      </c>
      <c r="BE46" s="247">
        <v>-680</v>
      </c>
      <c r="BF46" s="247">
        <v>1817.3</v>
      </c>
      <c r="BG46" s="248">
        <v>2697.6</v>
      </c>
      <c r="BH46" s="280">
        <v>0</v>
      </c>
      <c r="BI46" s="250">
        <v>8.4701000000000004E-12</v>
      </c>
      <c r="BJ46" s="250">
        <v>-6.9332E-9</v>
      </c>
      <c r="BK46" s="250">
        <v>-7.6911000000000004E-4</v>
      </c>
      <c r="BL46" s="251">
        <v>2.96</v>
      </c>
      <c r="BM46" s="280">
        <v>0</v>
      </c>
      <c r="BN46" s="250">
        <v>-8.4701000000000004E-12</v>
      </c>
      <c r="BO46" s="250">
        <v>6.9351999999999998E-9</v>
      </c>
      <c r="BP46" s="250">
        <v>7.6911000000000004E-4</v>
      </c>
      <c r="BQ46" s="251">
        <v>-1.96</v>
      </c>
      <c r="BR46" s="260">
        <v>0</v>
      </c>
      <c r="BS46" s="263">
        <v>100.20373497403833</v>
      </c>
      <c r="BT46" s="263">
        <v>-47.999516623664732</v>
      </c>
      <c r="BU46" s="263">
        <v>848.24114572710539</v>
      </c>
      <c r="BV46" s="259">
        <v>0</v>
      </c>
      <c r="BW46" s="280">
        <v>0</v>
      </c>
      <c r="BX46" s="250">
        <v>113.47605268449908</v>
      </c>
      <c r="BY46" s="250">
        <v>-63.895685138821953</v>
      </c>
      <c r="BZ46" s="250">
        <v>850.24159256661767</v>
      </c>
      <c r="CA46" s="251">
        <v>0</v>
      </c>
      <c r="CB46" s="246">
        <v>0</v>
      </c>
      <c r="CC46" s="247">
        <v>1162.7</v>
      </c>
      <c r="CD46" s="247">
        <v>-680</v>
      </c>
      <c r="CE46" s="247">
        <v>1817.3</v>
      </c>
      <c r="CF46" s="248">
        <v>2697.6</v>
      </c>
    </row>
    <row r="47" spans="1:84" s="281" customFormat="1" x14ac:dyDescent="0.25">
      <c r="A47" s="260" t="s">
        <v>104</v>
      </c>
      <c r="B47" s="257" t="s">
        <v>42</v>
      </c>
      <c r="C47" s="257" t="s">
        <v>43</v>
      </c>
      <c r="D47" s="257" t="s">
        <v>49</v>
      </c>
      <c r="E47" s="257" t="s">
        <v>175</v>
      </c>
      <c r="F47" s="257" t="s">
        <v>18</v>
      </c>
      <c r="G47" s="257" t="s">
        <v>106</v>
      </c>
      <c r="H47" s="278" t="str">
        <f>Master_Table[[#This Row],[LES-Type]]&amp;"-"&amp;Master_Table[[#This Row],[Nominal CCT+CRI]]&amp;Master_Table[[#This Row],[Tech]]</f>
        <v>22mm-2765GDP</v>
      </c>
      <c r="I47"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BXRV-TR-2765G-65A0-A-23</v>
      </c>
      <c r="J47" s="257">
        <v>900</v>
      </c>
      <c r="K47" s="259">
        <v>1400</v>
      </c>
      <c r="L47" s="260">
        <v>5500</v>
      </c>
      <c r="M47" s="261">
        <f>Master_Table[[#This Row],[Typical Lumens]]/(Master_Table[[#This Row],[Typical Voltage]]*Master_Table[[#This Row],[Typical Current]]/1000)</f>
        <v>115.96036263967953</v>
      </c>
      <c r="N47" s="257">
        <v>52.7</v>
      </c>
      <c r="O47" s="259">
        <v>-17.8</v>
      </c>
      <c r="P47" s="257">
        <v>0</v>
      </c>
      <c r="Q47" s="257">
        <v>1.4380913179342194E-9</v>
      </c>
      <c r="R47" s="257">
        <v>-5.0964132593551549E-6</v>
      </c>
      <c r="S47" s="257">
        <v>1.0287643509582034E-2</v>
      </c>
      <c r="T47" s="257">
        <v>46.520847010679802</v>
      </c>
      <c r="U47" s="330">
        <v>0</v>
      </c>
      <c r="V47" s="331">
        <v>-4.4675792493991844E-11</v>
      </c>
      <c r="W47" s="331">
        <v>-8.3914927870892933E-8</v>
      </c>
      <c r="X47" s="331">
        <v>1.2228219381150481E-3</v>
      </c>
      <c r="Y47" s="332">
        <v>0</v>
      </c>
      <c r="Z47" s="330">
        <v>0</v>
      </c>
      <c r="AA47" s="331">
        <v>7.7472155833943135E-9</v>
      </c>
      <c r="AB47" s="331">
        <v>-4.9951995948345892E-6</v>
      </c>
      <c r="AC47" s="331">
        <v>-1.2987378910136827E-3</v>
      </c>
      <c r="AD47" s="332">
        <v>1.0354693967786233</v>
      </c>
      <c r="AE47" s="269">
        <v>0</v>
      </c>
      <c r="AF47" s="270">
        <v>-5439.9</v>
      </c>
      <c r="AG47" s="270">
        <v>11628</v>
      </c>
      <c r="AH47" s="270">
        <v>-9982.9</v>
      </c>
      <c r="AI47" s="273">
        <v>6487.6</v>
      </c>
      <c r="AJ47" s="257">
        <v>6150</v>
      </c>
      <c r="AK47" s="261">
        <f>Master_Table[[#This Row],[Typical Lumens2]]/(Master_Table[[#This Row],[Typical Voltage2]]*Master_Table[[#This Row],[Typical Current]]/1000)</f>
        <v>127.48756218905473</v>
      </c>
      <c r="AL47" s="257">
        <v>53.6</v>
      </c>
      <c r="AM47" s="259">
        <v>-17.899999999999999</v>
      </c>
      <c r="AN47" s="260">
        <v>0</v>
      </c>
      <c r="AO47" s="257">
        <v>1.4202920183652849E-9</v>
      </c>
      <c r="AP47" s="257">
        <v>-5.0861098111383446E-6</v>
      </c>
      <c r="AQ47" s="257">
        <v>1.0961652796255569E-2</v>
      </c>
      <c r="AR47" s="259">
        <v>46.818868549003753</v>
      </c>
      <c r="AS47" s="343">
        <v>0</v>
      </c>
      <c r="AT47" s="343">
        <v>-5.4054949890771031E-11</v>
      </c>
      <c r="AU47" s="343">
        <v>-7.5778070083073677E-8</v>
      </c>
      <c r="AV47" s="343">
        <v>1.2230958835974018E-3</v>
      </c>
      <c r="AW47" s="343">
        <v>0</v>
      </c>
      <c r="AX47" s="260">
        <v>0</v>
      </c>
      <c r="AY47" s="257">
        <v>1.9463396326706002E-8</v>
      </c>
      <c r="AZ47" s="257">
        <v>-5.987182814536352E-6</v>
      </c>
      <c r="BA47" s="257">
        <v>-1.5804818050336744E-3</v>
      </c>
      <c r="BB47" s="259">
        <v>1.0429499188173224</v>
      </c>
      <c r="BC47" s="269">
        <v>0</v>
      </c>
      <c r="BD47" s="270">
        <v>5439.9</v>
      </c>
      <c r="BE47" s="270">
        <v>-4691.3999999999996</v>
      </c>
      <c r="BF47" s="270">
        <v>3045.8</v>
      </c>
      <c r="BG47" s="273">
        <v>2693.2</v>
      </c>
      <c r="BH47" s="260">
        <v>0</v>
      </c>
      <c r="BI47" s="263">
        <v>-8.7960505630037875E-12</v>
      </c>
      <c r="BJ47" s="263">
        <v>1.877519843912848E-7</v>
      </c>
      <c r="BK47" s="263">
        <v>-1.3920927047815347E-3</v>
      </c>
      <c r="BL47" s="259">
        <v>3.5325761287865722</v>
      </c>
      <c r="BM47" s="260">
        <v>0</v>
      </c>
      <c r="BN47" s="263">
        <v>9.2087000000000005E-12</v>
      </c>
      <c r="BO47" s="263">
        <v>-1.9656000000000001E-7</v>
      </c>
      <c r="BP47" s="263">
        <v>1.4574E-3</v>
      </c>
      <c r="BQ47" s="259">
        <v>-2.6983000000000001</v>
      </c>
      <c r="BR47" s="260">
        <v>0</v>
      </c>
      <c r="BS47" s="257">
        <v>100.20373497403833</v>
      </c>
      <c r="BT47" s="257">
        <v>-47.999516623664732</v>
      </c>
      <c r="BU47" s="257">
        <v>848.24114572710539</v>
      </c>
      <c r="BV47" s="259">
        <v>0</v>
      </c>
      <c r="BW47" s="260">
        <v>0</v>
      </c>
      <c r="BX47" s="257">
        <v>113.47605268449908</v>
      </c>
      <c r="BY47" s="257">
        <v>-63.895685138821953</v>
      </c>
      <c r="BZ47" s="257">
        <v>850.24159256661767</v>
      </c>
      <c r="CA47" s="259">
        <v>0</v>
      </c>
      <c r="CB47" s="269">
        <v>0</v>
      </c>
      <c r="CC47" s="270">
        <v>5439.9</v>
      </c>
      <c r="CD47" s="270">
        <v>-4691.3999999999996</v>
      </c>
      <c r="CE47" s="270">
        <v>3045.8</v>
      </c>
      <c r="CF47" s="273">
        <v>2693.2</v>
      </c>
    </row>
    <row r="48" spans="1:84" x14ac:dyDescent="0.25">
      <c r="A48" s="93"/>
      <c r="B48" s="94"/>
      <c r="C48" s="94"/>
      <c r="D48" s="94"/>
      <c r="E48" s="94"/>
      <c r="F48" s="94"/>
      <c r="G48" s="94"/>
      <c r="H48" s="147"/>
      <c r="I48" s="147"/>
      <c r="J48" s="94"/>
      <c r="K48" s="95"/>
      <c r="L48" s="93"/>
      <c r="M48" s="102"/>
      <c r="N48" s="94"/>
      <c r="O48" s="95"/>
      <c r="P48" s="94"/>
      <c r="Q48" s="94"/>
      <c r="R48" s="94"/>
      <c r="S48" s="94"/>
      <c r="T48" s="94"/>
      <c r="U48" s="93"/>
      <c r="V48" s="94"/>
      <c r="W48" s="94"/>
      <c r="X48" s="94"/>
      <c r="Y48" s="95"/>
      <c r="Z48" s="93"/>
      <c r="AA48" s="94"/>
      <c r="AB48" s="94"/>
      <c r="AC48" s="94"/>
      <c r="AD48" s="95"/>
      <c r="AE48" s="164"/>
      <c r="AF48" s="91"/>
      <c r="AG48" s="91"/>
      <c r="AH48" s="91"/>
      <c r="AI48" s="170"/>
      <c r="AJ48" s="94"/>
      <c r="AK48" s="102"/>
      <c r="AL48" s="94"/>
      <c r="AM48" s="95"/>
      <c r="AN48" s="93"/>
      <c r="AO48" s="94"/>
      <c r="AP48" s="94"/>
      <c r="AQ48" s="94"/>
      <c r="AR48" s="95"/>
      <c r="AS48" s="94"/>
      <c r="AT48" s="94"/>
      <c r="AU48" s="94"/>
      <c r="AV48" s="94"/>
      <c r="AW48" s="94"/>
      <c r="AX48" s="93"/>
      <c r="AY48" s="94"/>
      <c r="AZ48" s="94"/>
      <c r="BA48" s="94"/>
      <c r="BB48" s="95"/>
      <c r="BC48" s="164"/>
      <c r="BD48" s="91"/>
      <c r="BE48" s="91"/>
      <c r="BF48" s="91"/>
      <c r="BG48" s="170"/>
      <c r="BH48" s="93"/>
      <c r="BI48" s="103"/>
      <c r="BJ48" s="103"/>
      <c r="BK48" s="103"/>
      <c r="BL48" s="95"/>
      <c r="BM48" s="93"/>
      <c r="BN48" s="103"/>
      <c r="BO48" s="103"/>
      <c r="BP48" s="103"/>
      <c r="BQ48" s="95"/>
      <c r="BR48" s="93"/>
      <c r="BS48" s="103"/>
      <c r="BT48" s="103"/>
      <c r="BU48" s="103"/>
      <c r="BV48" s="95"/>
      <c r="BW48" s="93"/>
      <c r="BX48" s="94"/>
      <c r="BY48" s="94"/>
      <c r="BZ48" s="94"/>
      <c r="CA48" s="95"/>
      <c r="CB48" s="164"/>
      <c r="CC48" s="91"/>
      <c r="CD48" s="91"/>
      <c r="CE48" s="91"/>
      <c r="CF48" s="170"/>
    </row>
    <row r="49" spans="1:84" x14ac:dyDescent="0.25">
      <c r="A49" s="93"/>
      <c r="B49" s="94"/>
      <c r="C49" s="94"/>
      <c r="D49" s="94"/>
      <c r="E49" s="94"/>
      <c r="F49" s="94"/>
      <c r="G49" s="94"/>
      <c r="H49" s="147"/>
      <c r="I49" s="147"/>
      <c r="J49" s="94"/>
      <c r="K49" s="95"/>
      <c r="L49" s="93"/>
      <c r="M49" s="102"/>
      <c r="N49" s="94"/>
      <c r="O49" s="95"/>
      <c r="P49" s="94"/>
      <c r="Q49" s="94"/>
      <c r="R49" s="94"/>
      <c r="S49" s="94"/>
      <c r="T49" s="94"/>
      <c r="U49" s="93"/>
      <c r="V49" s="94"/>
      <c r="W49" s="94"/>
      <c r="X49" s="94"/>
      <c r="Y49" s="95"/>
      <c r="Z49" s="93"/>
      <c r="AA49" s="94"/>
      <c r="AB49" s="94"/>
      <c r="AC49" s="94"/>
      <c r="AD49" s="95"/>
      <c r="AE49" s="164"/>
      <c r="AF49" s="91"/>
      <c r="AG49" s="91"/>
      <c r="AH49" s="91"/>
      <c r="AI49" s="170"/>
      <c r="AJ49" s="94"/>
      <c r="AK49" s="102"/>
      <c r="AL49" s="94"/>
      <c r="AM49" s="95"/>
      <c r="AN49" s="93"/>
      <c r="AO49" s="94"/>
      <c r="AP49" s="94"/>
      <c r="AQ49" s="94"/>
      <c r="AR49" s="95"/>
      <c r="AS49" s="94"/>
      <c r="AT49" s="94"/>
      <c r="AU49" s="94"/>
      <c r="AV49" s="94"/>
      <c r="AW49" s="94"/>
      <c r="AX49" s="93"/>
      <c r="AY49" s="94"/>
      <c r="AZ49" s="94"/>
      <c r="BA49" s="94"/>
      <c r="BB49" s="95"/>
      <c r="BC49" s="164"/>
      <c r="BD49" s="91"/>
      <c r="BE49" s="91"/>
      <c r="BF49" s="91"/>
      <c r="BG49" s="170"/>
      <c r="BH49" s="93"/>
      <c r="BI49" s="94"/>
      <c r="BJ49" s="94"/>
      <c r="BK49" s="94"/>
      <c r="BL49" s="95"/>
      <c r="BM49" s="93"/>
      <c r="BN49" s="94"/>
      <c r="BO49" s="94"/>
      <c r="BP49" s="94"/>
      <c r="BQ49" s="95"/>
      <c r="BR49" s="93"/>
      <c r="BS49" s="94"/>
      <c r="BT49" s="94"/>
      <c r="BU49" s="94"/>
      <c r="BV49" s="95"/>
      <c r="BW49" s="93"/>
      <c r="BX49" s="94"/>
      <c r="BY49" s="94"/>
      <c r="BZ49" s="94"/>
      <c r="CA49" s="95"/>
      <c r="CB49" s="164"/>
      <c r="CC49" s="91"/>
      <c r="CD49" s="91"/>
      <c r="CE49" s="91"/>
      <c r="CF49" s="170"/>
    </row>
    <row r="50" spans="1:84" x14ac:dyDescent="0.25">
      <c r="A50" s="93"/>
      <c r="B50" s="94"/>
      <c r="C50" s="94"/>
      <c r="D50" s="94"/>
      <c r="E50" s="94"/>
      <c r="F50" s="94"/>
      <c r="G50" s="94"/>
      <c r="H50" s="147"/>
      <c r="I50" s="147"/>
      <c r="J50" s="94"/>
      <c r="K50" s="95"/>
      <c r="L50" s="93"/>
      <c r="M50" s="102"/>
      <c r="N50" s="94"/>
      <c r="O50" s="95"/>
      <c r="P50" s="94"/>
      <c r="Q50" s="94"/>
      <c r="R50" s="94"/>
      <c r="S50" s="94"/>
      <c r="T50" s="94"/>
      <c r="U50" s="93"/>
      <c r="V50" s="94"/>
      <c r="W50" s="94"/>
      <c r="X50" s="94"/>
      <c r="Y50" s="95"/>
      <c r="Z50" s="93"/>
      <c r="AA50" s="94"/>
      <c r="AB50" s="94"/>
      <c r="AC50" s="94"/>
      <c r="AD50" s="95"/>
      <c r="AE50" s="164"/>
      <c r="AF50" s="91"/>
      <c r="AG50" s="91"/>
      <c r="AH50" s="91"/>
      <c r="AI50" s="170"/>
      <c r="AJ50" s="94"/>
      <c r="AK50" s="102"/>
      <c r="AL50" s="94"/>
      <c r="AM50" s="95"/>
      <c r="AN50" s="93"/>
      <c r="AO50" s="94"/>
      <c r="AP50" s="94"/>
      <c r="AQ50" s="94"/>
      <c r="AR50" s="95"/>
      <c r="AS50" s="94"/>
      <c r="AT50" s="94"/>
      <c r="AU50" s="94"/>
      <c r="AV50" s="94"/>
      <c r="AW50" s="94"/>
      <c r="AX50" s="93"/>
      <c r="AY50" s="94"/>
      <c r="AZ50" s="94"/>
      <c r="BA50" s="94"/>
      <c r="BB50" s="95"/>
      <c r="BC50" s="164"/>
      <c r="BD50" s="91"/>
      <c r="BE50" s="91"/>
      <c r="BF50" s="91"/>
      <c r="BG50" s="170"/>
      <c r="BH50" s="93"/>
      <c r="BI50" s="103"/>
      <c r="BJ50" s="103"/>
      <c r="BK50" s="103"/>
      <c r="BL50" s="95"/>
      <c r="BM50" s="93"/>
      <c r="BN50" s="103"/>
      <c r="BO50" s="103"/>
      <c r="BP50" s="103"/>
      <c r="BQ50" s="95"/>
      <c r="BR50" s="93"/>
      <c r="BS50" s="94"/>
      <c r="BT50" s="94"/>
      <c r="BU50" s="94"/>
      <c r="BV50" s="95"/>
      <c r="BW50" s="93"/>
      <c r="BX50" s="94"/>
      <c r="BY50" s="94"/>
      <c r="BZ50" s="94"/>
      <c r="CA50" s="95"/>
      <c r="CB50" s="164"/>
      <c r="CC50" s="91"/>
      <c r="CD50" s="91"/>
      <c r="CE50" s="91"/>
      <c r="CF50" s="170"/>
    </row>
    <row r="51" spans="1:84" ht="16.5" thickBot="1" x14ac:dyDescent="0.3">
      <c r="A51" s="96"/>
      <c r="B51" s="97"/>
      <c r="C51" s="97"/>
      <c r="D51" s="97"/>
      <c r="E51" s="97"/>
      <c r="F51" s="97"/>
      <c r="G51" s="97"/>
      <c r="H51" s="148"/>
      <c r="I51" s="148"/>
      <c r="J51" s="97"/>
      <c r="K51" s="98"/>
      <c r="L51" s="96"/>
      <c r="M51" s="151"/>
      <c r="N51" s="97"/>
      <c r="O51" s="98"/>
      <c r="P51" s="94"/>
      <c r="Q51" s="94"/>
      <c r="R51" s="94"/>
      <c r="S51" s="94"/>
      <c r="T51" s="94"/>
      <c r="U51" s="93"/>
      <c r="V51" s="94"/>
      <c r="W51" s="94"/>
      <c r="X51" s="94"/>
      <c r="Y51" s="95"/>
      <c r="Z51" s="96"/>
      <c r="AA51" s="97"/>
      <c r="AB51" s="97"/>
      <c r="AC51" s="97"/>
      <c r="AD51" s="98"/>
      <c r="AE51" s="164"/>
      <c r="AF51" s="91"/>
      <c r="AG51" s="91"/>
      <c r="AH51" s="91"/>
      <c r="AI51" s="170"/>
      <c r="AJ51" s="94"/>
      <c r="AK51" s="102"/>
      <c r="AL51" s="94"/>
      <c r="AM51" s="95"/>
      <c r="AN51" s="96"/>
      <c r="AO51" s="97"/>
      <c r="AP51" s="97"/>
      <c r="AQ51" s="97"/>
      <c r="AR51" s="98"/>
      <c r="AS51" s="97"/>
      <c r="AT51" s="97"/>
      <c r="AU51" s="97"/>
      <c r="AV51" s="97"/>
      <c r="AW51" s="97"/>
      <c r="AX51" s="96"/>
      <c r="AY51" s="97"/>
      <c r="AZ51" s="97"/>
      <c r="BA51" s="97"/>
      <c r="BB51" s="98"/>
      <c r="BC51" s="164"/>
      <c r="BD51" s="91"/>
      <c r="BE51" s="91"/>
      <c r="BF51" s="91"/>
      <c r="BG51" s="170"/>
      <c r="BH51" s="93"/>
      <c r="BI51" s="103"/>
      <c r="BJ51" s="103"/>
      <c r="BK51" s="103"/>
      <c r="BL51" s="95"/>
      <c r="BM51" s="93"/>
      <c r="BN51" s="103"/>
      <c r="BO51" s="103"/>
      <c r="BP51" s="103"/>
      <c r="BQ51" s="154"/>
      <c r="BR51" s="96"/>
      <c r="BS51" s="97"/>
      <c r="BT51" s="97"/>
      <c r="BU51" s="97"/>
      <c r="BV51" s="98"/>
      <c r="BW51" s="96"/>
      <c r="BX51" s="97"/>
      <c r="BY51" s="97"/>
      <c r="BZ51" s="97"/>
      <c r="CA51" s="98"/>
      <c r="CB51" s="164"/>
      <c r="CC51" s="91"/>
      <c r="CD51" s="91"/>
      <c r="CE51" s="91"/>
      <c r="CF51" s="170"/>
    </row>
    <row r="52" spans="1:84" s="281" customFormat="1" x14ac:dyDescent="0.25">
      <c r="A52" s="280" t="s">
        <v>105</v>
      </c>
      <c r="B52" s="253" t="s">
        <v>42</v>
      </c>
      <c r="C52" s="253" t="s">
        <v>43</v>
      </c>
      <c r="D52" s="233" t="s">
        <v>41</v>
      </c>
      <c r="E52" s="253" t="s">
        <v>176</v>
      </c>
      <c r="F52" s="253" t="s">
        <v>18</v>
      </c>
      <c r="G52" s="253" t="s">
        <v>106</v>
      </c>
      <c r="H52" s="274" t="str">
        <f>Master_Table[[#This Row],[LES-Type]]&amp;"-"&amp;Master_Table[[#This Row],[Nominal CCT+CRI]]&amp;Master_Table[[#This Row],[Tech]]</f>
        <v>29mm-2750GDP</v>
      </c>
      <c r="I52" s="274"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BXRV-TR-2750G-1KA0-A-23</v>
      </c>
      <c r="J52" s="253">
        <v>1050</v>
      </c>
      <c r="K52" s="251">
        <v>1800</v>
      </c>
      <c r="L52" s="280">
        <v>6700</v>
      </c>
      <c r="M52" s="275">
        <f>Master_Table[[#This Row],[Typical Lumens]]/(Master_Table[[#This Row],[Typical Voltage]]*Master_Table[[#This Row],[Typical Current]]/1000)</f>
        <v>122.47509368430674</v>
      </c>
      <c r="N52" s="253">
        <v>52.1</v>
      </c>
      <c r="O52" s="251">
        <v>-17.2</v>
      </c>
      <c r="P52" s="280">
        <v>0</v>
      </c>
      <c r="Q52" s="250">
        <v>6.5708013251521474E-10</v>
      </c>
      <c r="R52" s="250">
        <v>-2.7322283662304968E-6</v>
      </c>
      <c r="S52" s="250">
        <v>7.6484603185929282E-3</v>
      </c>
      <c r="T52" s="250">
        <v>46.320746050843631</v>
      </c>
      <c r="U52" s="336">
        <v>0</v>
      </c>
      <c r="V52" s="337">
        <v>1.5125467862800623E-11</v>
      </c>
      <c r="W52" s="337">
        <v>-1.1042593717604282E-7</v>
      </c>
      <c r="X52" s="337">
        <v>1.0516523580970595E-3</v>
      </c>
      <c r="Y52" s="338">
        <v>0</v>
      </c>
      <c r="Z52" s="260">
        <v>0</v>
      </c>
      <c r="AA52" s="263">
        <v>5.812007672952047E-9</v>
      </c>
      <c r="AB52" s="263">
        <v>-4.8868562570778252E-6</v>
      </c>
      <c r="AC52" s="263">
        <v>-1.2731836148173897E-3</v>
      </c>
      <c r="AD52" s="259">
        <v>1.0347930629112185</v>
      </c>
      <c r="AE52" s="246">
        <v>0</v>
      </c>
      <c r="AF52" s="247">
        <v>-1162.7</v>
      </c>
      <c r="AG52" s="247">
        <v>2808</v>
      </c>
      <c r="AH52" s="247">
        <v>-3945.3</v>
      </c>
      <c r="AI52" s="248">
        <v>4997.6000000000004</v>
      </c>
      <c r="AJ52" s="280">
        <v>7500</v>
      </c>
      <c r="AK52" s="275">
        <f>Master_Table[[#This Row],[Typical Lumens2]]/(Master_Table[[#This Row],[Typical Voltage2]]*Master_Table[[#This Row],[Typical Current]]/1000)</f>
        <v>135.53808620222281</v>
      </c>
      <c r="AL52" s="253">
        <v>52.7</v>
      </c>
      <c r="AM52" s="251">
        <v>-18.2</v>
      </c>
      <c r="AN52" s="280">
        <v>0</v>
      </c>
      <c r="AO52" s="250">
        <v>6.9165382294772443E-10</v>
      </c>
      <c r="AP52" s="250">
        <v>-2.8111091120226548E-6</v>
      </c>
      <c r="AQ52" s="250">
        <v>7.9556317141579076E-3</v>
      </c>
      <c r="AR52" s="252">
        <v>46.645158739349313</v>
      </c>
      <c r="AS52" s="253">
        <v>0</v>
      </c>
      <c r="AT52" s="250">
        <v>-6.5612175585601317E-13</v>
      </c>
      <c r="AU52" s="250">
        <v>-8.4012176982111926E-8</v>
      </c>
      <c r="AV52" s="250">
        <v>1.0413171124480012E-3</v>
      </c>
      <c r="AW52" s="253">
        <v>0</v>
      </c>
      <c r="AX52" s="260">
        <v>0</v>
      </c>
      <c r="AY52" s="263">
        <v>1.9229628019387044E-8</v>
      </c>
      <c r="AZ52" s="263">
        <v>-5.842848513582986E-6</v>
      </c>
      <c r="BA52" s="263">
        <v>-1.5874437725151996E-3</v>
      </c>
      <c r="BB52" s="259">
        <v>1.0430374116960666</v>
      </c>
      <c r="BC52" s="246">
        <v>0</v>
      </c>
      <c r="BD52" s="247">
        <v>1162.7</v>
      </c>
      <c r="BE52" s="247">
        <v>-680</v>
      </c>
      <c r="BF52" s="247">
        <v>1817.3</v>
      </c>
      <c r="BG52" s="248">
        <v>2697.6</v>
      </c>
      <c r="BH52" s="280">
        <v>0</v>
      </c>
      <c r="BI52" s="250">
        <v>8.4701000000000004E-12</v>
      </c>
      <c r="BJ52" s="250">
        <v>-6.9332E-9</v>
      </c>
      <c r="BK52" s="250">
        <v>-7.6911000000000004E-4</v>
      </c>
      <c r="BL52" s="251">
        <v>2.96</v>
      </c>
      <c r="BM52" s="280">
        <v>0</v>
      </c>
      <c r="BN52" s="250">
        <v>-8.4701000000000004E-12</v>
      </c>
      <c r="BO52" s="250">
        <v>6.9351999999999998E-9</v>
      </c>
      <c r="BP52" s="250">
        <v>7.6911000000000004E-4</v>
      </c>
      <c r="BQ52" s="251">
        <v>-1.96</v>
      </c>
      <c r="BR52" s="280">
        <v>-6.3906769721175642</v>
      </c>
      <c r="BS52" s="253">
        <v>14.381492856367164</v>
      </c>
      <c r="BT52" s="250">
        <v>90.121356489722913</v>
      </c>
      <c r="BU52" s="250">
        <v>951.94819398062862</v>
      </c>
      <c r="BV52" s="251">
        <v>-3.872649497086833E-2</v>
      </c>
      <c r="BW52" s="262">
        <v>7.9318374174711153</v>
      </c>
      <c r="BX52" s="263">
        <v>2.0415939669414622</v>
      </c>
      <c r="BY52" s="263">
        <v>81.187114290885674</v>
      </c>
      <c r="BZ52" s="263">
        <v>958.74198673883757</v>
      </c>
      <c r="CA52" s="259">
        <v>5.8759186131469576E-2</v>
      </c>
      <c r="CB52" s="246">
        <v>0</v>
      </c>
      <c r="CC52" s="247">
        <v>1162.7</v>
      </c>
      <c r="CD52" s="247">
        <v>-680</v>
      </c>
      <c r="CE52" s="247">
        <v>1817.3</v>
      </c>
      <c r="CF52" s="248">
        <v>2697.6</v>
      </c>
    </row>
    <row r="53" spans="1:84" s="281" customFormat="1" x14ac:dyDescent="0.25">
      <c r="A53" s="260" t="s">
        <v>105</v>
      </c>
      <c r="B53" s="257" t="s">
        <v>42</v>
      </c>
      <c r="C53" s="257" t="s">
        <v>43</v>
      </c>
      <c r="D53" s="257" t="s">
        <v>49</v>
      </c>
      <c r="E53" s="257" t="s">
        <v>176</v>
      </c>
      <c r="F53" s="257" t="s">
        <v>18</v>
      </c>
      <c r="G53" s="257" t="s">
        <v>106</v>
      </c>
      <c r="H53" s="278" t="str">
        <f>Master_Table[[#This Row],[LES-Type]]&amp;"-"&amp;Master_Table[[#This Row],[Nominal CCT+CRI]]&amp;Master_Table[[#This Row],[Tech]]</f>
        <v>29mm-2765GDP</v>
      </c>
      <c r="I53" s="278"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BXRV-TR-2765G-1KA0-A-23</v>
      </c>
      <c r="J53" s="257">
        <v>1050</v>
      </c>
      <c r="K53" s="259">
        <v>1800</v>
      </c>
      <c r="L53" s="260">
        <v>6700</v>
      </c>
      <c r="M53" s="261">
        <f>Master_Table[[#This Row],[Typical Lumens]]/(Master_Table[[#This Row],[Typical Voltage]]*Master_Table[[#This Row],[Typical Current]]/1000)</f>
        <v>122.47509368430674</v>
      </c>
      <c r="N53" s="257">
        <v>52.1</v>
      </c>
      <c r="O53" s="259">
        <v>-17.2</v>
      </c>
      <c r="P53" s="260">
        <v>0</v>
      </c>
      <c r="Q53" s="257">
        <v>6.5708013251521474E-10</v>
      </c>
      <c r="R53" s="257">
        <v>-2.7322283662304968E-6</v>
      </c>
      <c r="S53" s="257">
        <v>7.6484603185929282E-3</v>
      </c>
      <c r="T53" s="257">
        <v>46.320746050843631</v>
      </c>
      <c r="U53" s="339">
        <v>0</v>
      </c>
      <c r="V53" s="340">
        <v>1.5125467862800623E-11</v>
      </c>
      <c r="W53" s="340">
        <v>-1.1042593717604282E-7</v>
      </c>
      <c r="X53" s="340">
        <v>1.0516523580970595E-3</v>
      </c>
      <c r="Y53" s="341">
        <v>0</v>
      </c>
      <c r="Z53" s="260">
        <v>0</v>
      </c>
      <c r="AA53" s="257">
        <v>5.812007672952047E-9</v>
      </c>
      <c r="AB53" s="257">
        <v>-4.8868562570778252E-6</v>
      </c>
      <c r="AC53" s="257">
        <v>-1.2731836148173897E-3</v>
      </c>
      <c r="AD53" s="259">
        <v>1.0347930629112185</v>
      </c>
      <c r="AE53" s="269">
        <v>0</v>
      </c>
      <c r="AF53" s="270">
        <v>-5439.9</v>
      </c>
      <c r="AG53" s="270">
        <v>11628</v>
      </c>
      <c r="AH53" s="270">
        <v>-9982.9</v>
      </c>
      <c r="AI53" s="273">
        <v>6487.6</v>
      </c>
      <c r="AJ53" s="260">
        <v>7500</v>
      </c>
      <c r="AK53" s="261">
        <f>Master_Table[[#This Row],[Typical Lumens2]]/(Master_Table[[#This Row],[Typical Voltage2]]*Master_Table[[#This Row],[Typical Current]]/1000)</f>
        <v>135.53808620222281</v>
      </c>
      <c r="AL53" s="257">
        <v>52.7</v>
      </c>
      <c r="AM53" s="259">
        <v>-18.2</v>
      </c>
      <c r="AN53" s="260">
        <v>0</v>
      </c>
      <c r="AO53" s="257">
        <v>6.9165382294772443E-10</v>
      </c>
      <c r="AP53" s="257">
        <v>-2.8111091120226548E-6</v>
      </c>
      <c r="AQ53" s="257">
        <v>7.9556317141579076E-3</v>
      </c>
      <c r="AR53" s="259">
        <v>46.645158739349313</v>
      </c>
      <c r="AS53" s="257">
        <v>0</v>
      </c>
      <c r="AT53" s="257">
        <v>-6.5612175585601317E-13</v>
      </c>
      <c r="AU53" s="257">
        <v>-8.4012176982111926E-8</v>
      </c>
      <c r="AV53" s="257">
        <v>1.0413171124480012E-3</v>
      </c>
      <c r="AW53" s="257">
        <v>0</v>
      </c>
      <c r="AX53" s="260">
        <v>0</v>
      </c>
      <c r="AY53" s="257">
        <v>1.9229628019387044E-8</v>
      </c>
      <c r="AZ53" s="257">
        <v>-5.842848513582986E-6</v>
      </c>
      <c r="BA53" s="257">
        <v>-1.5874437725151996E-3</v>
      </c>
      <c r="BB53" s="259">
        <v>1.0430374116960666</v>
      </c>
      <c r="BC53" s="269">
        <v>0</v>
      </c>
      <c r="BD53" s="270">
        <v>5439.9</v>
      </c>
      <c r="BE53" s="270">
        <v>-4691.3999999999996</v>
      </c>
      <c r="BF53" s="270">
        <v>3045.8</v>
      </c>
      <c r="BG53" s="273">
        <v>2693.2</v>
      </c>
      <c r="BH53" s="260">
        <v>0</v>
      </c>
      <c r="BI53" s="263">
        <v>-8.7960505630037875E-12</v>
      </c>
      <c r="BJ53" s="263">
        <v>1.877519843912848E-7</v>
      </c>
      <c r="BK53" s="263">
        <v>-1.3920927047815347E-3</v>
      </c>
      <c r="BL53" s="259">
        <v>3.5325761287865722</v>
      </c>
      <c r="BM53" s="260">
        <v>0</v>
      </c>
      <c r="BN53" s="263">
        <v>9.2087000000000005E-12</v>
      </c>
      <c r="BO53" s="263">
        <v>-1.9656000000000001E-7</v>
      </c>
      <c r="BP53" s="263">
        <v>1.4574E-3</v>
      </c>
      <c r="BQ53" s="259">
        <v>-2.6983000000000001</v>
      </c>
      <c r="BR53" s="260">
        <v>-6.3906769721175642</v>
      </c>
      <c r="BS53" s="257">
        <v>14.381492856367164</v>
      </c>
      <c r="BT53" s="257">
        <v>90.121356489722913</v>
      </c>
      <c r="BU53" s="257">
        <v>951.94819398062862</v>
      </c>
      <c r="BV53" s="259">
        <v>-3.872649497086833E-2</v>
      </c>
      <c r="BW53" s="260">
        <v>7.9318374174711153</v>
      </c>
      <c r="BX53" s="257">
        <v>2.0415939669414622</v>
      </c>
      <c r="BY53" s="257">
        <v>81.187114290885674</v>
      </c>
      <c r="BZ53" s="257">
        <v>958.74198673883757</v>
      </c>
      <c r="CA53" s="259">
        <v>5.8759186131469576E-2</v>
      </c>
      <c r="CB53" s="269">
        <v>0</v>
      </c>
      <c r="CC53" s="270">
        <v>5439.9</v>
      </c>
      <c r="CD53" s="270">
        <v>-4691.3999999999996</v>
      </c>
      <c r="CE53" s="270">
        <v>3045.8</v>
      </c>
      <c r="CF53" s="273">
        <v>2693.2</v>
      </c>
    </row>
    <row r="54" spans="1:84" x14ac:dyDescent="0.25">
      <c r="A54" s="93"/>
      <c r="B54" s="94"/>
      <c r="C54" s="94"/>
      <c r="D54" s="94"/>
      <c r="E54" s="94"/>
      <c r="F54" s="94"/>
      <c r="G54" s="94"/>
      <c r="H54" s="147"/>
      <c r="I54" s="147"/>
      <c r="J54" s="94"/>
      <c r="K54" s="95"/>
      <c r="L54" s="93"/>
      <c r="M54" s="102"/>
      <c r="N54" s="94"/>
      <c r="O54" s="95"/>
      <c r="P54" s="93"/>
      <c r="Q54" s="94"/>
      <c r="R54" s="94"/>
      <c r="S54" s="94"/>
      <c r="T54" s="94"/>
      <c r="U54" s="93"/>
      <c r="V54" s="94"/>
      <c r="W54" s="94"/>
      <c r="X54" s="94"/>
      <c r="Y54" s="95"/>
      <c r="Z54" s="93"/>
      <c r="AA54" s="94"/>
      <c r="AB54" s="94"/>
      <c r="AC54" s="94"/>
      <c r="AD54" s="95"/>
      <c r="AE54" s="164"/>
      <c r="AF54" s="91"/>
      <c r="AG54" s="91"/>
      <c r="AH54" s="91"/>
      <c r="AI54" s="170"/>
      <c r="AJ54" s="93"/>
      <c r="AK54" s="102"/>
      <c r="AL54" s="94"/>
      <c r="AM54" s="95"/>
      <c r="AN54" s="93"/>
      <c r="AO54" s="94"/>
      <c r="AP54" s="94"/>
      <c r="AQ54" s="94"/>
      <c r="AR54" s="95"/>
      <c r="AS54" s="94"/>
      <c r="AT54" s="94"/>
      <c r="AU54" s="94"/>
      <c r="AV54" s="94"/>
      <c r="AW54" s="94"/>
      <c r="AX54" s="93"/>
      <c r="AY54" s="94"/>
      <c r="AZ54" s="94"/>
      <c r="BA54" s="94"/>
      <c r="BB54" s="95"/>
      <c r="BC54" s="164"/>
      <c r="BD54" s="91"/>
      <c r="BE54" s="91"/>
      <c r="BF54" s="91"/>
      <c r="BG54" s="170"/>
      <c r="BH54" s="93"/>
      <c r="BI54" s="103"/>
      <c r="BJ54" s="103"/>
      <c r="BK54" s="103"/>
      <c r="BL54" s="95"/>
      <c r="BM54" s="93"/>
      <c r="BN54" s="103"/>
      <c r="BO54" s="103"/>
      <c r="BP54" s="103"/>
      <c r="BQ54" s="95"/>
      <c r="BR54" s="93"/>
      <c r="BS54" s="94"/>
      <c r="BT54" s="94"/>
      <c r="BU54" s="94"/>
      <c r="BV54" s="95"/>
      <c r="BW54" s="93"/>
      <c r="BX54" s="94"/>
      <c r="BY54" s="94"/>
      <c r="BZ54" s="94"/>
      <c r="CA54" s="95"/>
      <c r="CB54" s="164"/>
      <c r="CC54" s="91"/>
      <c r="CD54" s="91"/>
      <c r="CE54" s="91"/>
      <c r="CF54" s="170"/>
    </row>
    <row r="55" spans="1:84" x14ac:dyDescent="0.25">
      <c r="A55" s="93"/>
      <c r="B55" s="94"/>
      <c r="C55" s="94"/>
      <c r="D55" s="94"/>
      <c r="E55" s="94"/>
      <c r="F55" s="94"/>
      <c r="G55" s="94"/>
      <c r="H55" s="147"/>
      <c r="I55" s="147"/>
      <c r="J55" s="94"/>
      <c r="K55" s="95"/>
      <c r="L55" s="93"/>
      <c r="M55" s="102"/>
      <c r="N55" s="94"/>
      <c r="O55" s="95"/>
      <c r="P55" s="93"/>
      <c r="Q55" s="94"/>
      <c r="R55" s="94"/>
      <c r="S55" s="94"/>
      <c r="T55" s="94"/>
      <c r="U55" s="93"/>
      <c r="V55" s="94"/>
      <c r="W55" s="94"/>
      <c r="X55" s="94"/>
      <c r="Y55" s="95"/>
      <c r="Z55" s="93"/>
      <c r="AA55" s="94"/>
      <c r="AB55" s="94"/>
      <c r="AC55" s="94"/>
      <c r="AD55" s="95"/>
      <c r="AE55" s="164"/>
      <c r="AF55" s="91"/>
      <c r="AG55" s="91"/>
      <c r="AH55" s="91"/>
      <c r="AI55" s="170"/>
      <c r="AJ55" s="93"/>
      <c r="AK55" s="102"/>
      <c r="AL55" s="94"/>
      <c r="AM55" s="95"/>
      <c r="AN55" s="93"/>
      <c r="AO55" s="94"/>
      <c r="AP55" s="94"/>
      <c r="AQ55" s="94"/>
      <c r="AR55" s="95"/>
      <c r="AS55" s="94"/>
      <c r="AT55" s="94"/>
      <c r="AU55" s="94"/>
      <c r="AV55" s="94"/>
      <c r="AW55" s="94"/>
      <c r="AX55" s="93"/>
      <c r="AY55" s="94"/>
      <c r="AZ55" s="94"/>
      <c r="BA55" s="94"/>
      <c r="BB55" s="95"/>
      <c r="BC55" s="164"/>
      <c r="BD55" s="91"/>
      <c r="BE55" s="91"/>
      <c r="BF55" s="91"/>
      <c r="BG55" s="170"/>
      <c r="BH55" s="93"/>
      <c r="BI55" s="94"/>
      <c r="BJ55" s="94"/>
      <c r="BK55" s="94"/>
      <c r="BL55" s="95"/>
      <c r="BM55" s="93"/>
      <c r="BN55" s="94"/>
      <c r="BO55" s="94"/>
      <c r="BP55" s="94"/>
      <c r="BQ55" s="95"/>
      <c r="BR55" s="345"/>
      <c r="BS55" s="345"/>
      <c r="BT55" s="345"/>
      <c r="BU55" s="345"/>
      <c r="BV55" s="345"/>
      <c r="BW55" s="93"/>
      <c r="BX55" s="94"/>
      <c r="BY55" s="94"/>
      <c r="BZ55" s="94"/>
      <c r="CA55" s="95"/>
      <c r="CB55" s="164"/>
      <c r="CC55" s="91"/>
      <c r="CD55" s="91"/>
      <c r="CE55" s="91"/>
      <c r="CF55" s="170"/>
    </row>
    <row r="56" spans="1:84" x14ac:dyDescent="0.25">
      <c r="A56" s="93"/>
      <c r="B56" s="94"/>
      <c r="C56" s="94"/>
      <c r="D56" s="94"/>
      <c r="E56" s="94"/>
      <c r="F56" s="94"/>
      <c r="G56" s="94"/>
      <c r="H56" s="147"/>
      <c r="I56" s="147"/>
      <c r="J56" s="94"/>
      <c r="K56" s="95"/>
      <c r="L56" s="93"/>
      <c r="M56" s="102"/>
      <c r="N56" s="94"/>
      <c r="O56" s="95"/>
      <c r="P56" s="93"/>
      <c r="Q56" s="94"/>
      <c r="R56" s="94"/>
      <c r="S56" s="94"/>
      <c r="T56" s="94"/>
      <c r="U56" s="93"/>
      <c r="V56" s="94"/>
      <c r="W56" s="94"/>
      <c r="X56" s="94"/>
      <c r="Y56" s="95"/>
      <c r="Z56" s="93"/>
      <c r="AA56" s="94"/>
      <c r="AB56" s="94"/>
      <c r="AC56" s="94"/>
      <c r="AD56" s="95"/>
      <c r="AE56" s="164"/>
      <c r="AF56" s="91"/>
      <c r="AG56" s="91"/>
      <c r="AH56" s="91"/>
      <c r="AI56" s="170"/>
      <c r="AJ56" s="93"/>
      <c r="AK56" s="102"/>
      <c r="AL56" s="94"/>
      <c r="AM56" s="95"/>
      <c r="AN56" s="93"/>
      <c r="AO56" s="94"/>
      <c r="AP56" s="94"/>
      <c r="AQ56" s="94"/>
      <c r="AR56" s="95"/>
      <c r="AS56" s="94"/>
      <c r="AT56" s="94"/>
      <c r="AU56" s="94"/>
      <c r="AV56" s="94"/>
      <c r="AW56" s="94"/>
      <c r="AX56" s="93"/>
      <c r="AY56" s="94"/>
      <c r="AZ56" s="94"/>
      <c r="BA56" s="94"/>
      <c r="BB56" s="95"/>
      <c r="BC56" s="164"/>
      <c r="BD56" s="91"/>
      <c r="BE56" s="91"/>
      <c r="BF56" s="91"/>
      <c r="BG56" s="170"/>
      <c r="BH56" s="93"/>
      <c r="BI56" s="103"/>
      <c r="BJ56" s="103"/>
      <c r="BK56" s="103"/>
      <c r="BL56" s="95"/>
      <c r="BM56" s="93"/>
      <c r="BN56" s="103"/>
      <c r="BO56" s="103"/>
      <c r="BP56" s="103"/>
      <c r="BQ56" s="95"/>
      <c r="BR56" s="93"/>
      <c r="BS56" s="94"/>
      <c r="BT56" s="94"/>
      <c r="BU56" s="94"/>
      <c r="BV56" s="95"/>
      <c r="BW56" s="93"/>
      <c r="BX56" s="94"/>
      <c r="BY56" s="94"/>
      <c r="BZ56" s="94"/>
      <c r="CA56" s="95"/>
      <c r="CB56" s="164"/>
      <c r="CC56" s="91"/>
      <c r="CD56" s="91"/>
      <c r="CE56" s="91"/>
      <c r="CF56" s="170"/>
    </row>
    <row r="57" spans="1:84" ht="16.5" thickBot="1" x14ac:dyDescent="0.3">
      <c r="A57" s="96"/>
      <c r="B57" s="97"/>
      <c r="C57" s="97"/>
      <c r="D57" s="97"/>
      <c r="E57" s="97"/>
      <c r="F57" s="97"/>
      <c r="G57" s="97"/>
      <c r="H57" s="148"/>
      <c r="I57" s="148"/>
      <c r="J57" s="97"/>
      <c r="K57" s="98"/>
      <c r="L57" s="96"/>
      <c r="M57" s="151"/>
      <c r="N57" s="97"/>
      <c r="O57" s="98"/>
      <c r="P57" s="96"/>
      <c r="Q57" s="97"/>
      <c r="R57" s="97"/>
      <c r="S57" s="97"/>
      <c r="T57" s="97"/>
      <c r="U57" s="96"/>
      <c r="V57" s="97"/>
      <c r="W57" s="97"/>
      <c r="X57" s="97"/>
      <c r="Y57" s="98"/>
      <c r="Z57" s="96"/>
      <c r="AA57" s="97"/>
      <c r="AB57" s="97"/>
      <c r="AC57" s="97"/>
      <c r="AD57" s="98"/>
      <c r="AE57" s="166"/>
      <c r="AF57" s="167"/>
      <c r="AG57" s="167"/>
      <c r="AH57" s="167"/>
      <c r="AI57" s="171"/>
      <c r="AJ57" s="96"/>
      <c r="AK57" s="151"/>
      <c r="AL57" s="97"/>
      <c r="AM57" s="98"/>
      <c r="AN57" s="96"/>
      <c r="AO57" s="97"/>
      <c r="AP57" s="97"/>
      <c r="AQ57" s="97"/>
      <c r="AR57" s="98"/>
      <c r="AS57" s="97"/>
      <c r="AT57" s="97"/>
      <c r="AU57" s="97"/>
      <c r="AV57" s="97"/>
      <c r="AW57" s="97"/>
      <c r="AX57" s="96"/>
      <c r="AY57" s="97"/>
      <c r="AZ57" s="97"/>
      <c r="BA57" s="97"/>
      <c r="BB57" s="98"/>
      <c r="BC57" s="166"/>
      <c r="BD57" s="167"/>
      <c r="BE57" s="167"/>
      <c r="BF57" s="167"/>
      <c r="BG57" s="171"/>
      <c r="BH57" s="96"/>
      <c r="BI57" s="156"/>
      <c r="BJ57" s="156"/>
      <c r="BK57" s="156"/>
      <c r="BL57" s="98"/>
      <c r="BM57" s="96"/>
      <c r="BN57" s="156"/>
      <c r="BO57" s="156"/>
      <c r="BP57" s="156"/>
      <c r="BQ57" s="157"/>
      <c r="BR57" s="96"/>
      <c r="BS57" s="97"/>
      <c r="BT57" s="97"/>
      <c r="BU57" s="97"/>
      <c r="BV57" s="98"/>
      <c r="BW57" s="96"/>
      <c r="BX57" s="97"/>
      <c r="BY57" s="97"/>
      <c r="BZ57" s="97"/>
      <c r="CA57" s="98"/>
      <c r="CB57" s="166"/>
      <c r="CC57" s="167"/>
      <c r="CD57" s="167"/>
      <c r="CE57" s="167"/>
      <c r="CF57" s="171"/>
    </row>
    <row r="58" spans="1:84" x14ac:dyDescent="0.25">
      <c r="A58" s="94"/>
      <c r="B58" s="94"/>
      <c r="C58" s="94"/>
      <c r="D58" s="94"/>
      <c r="E58" s="94"/>
      <c r="F58" s="94"/>
      <c r="G58" s="94"/>
      <c r="H58" s="147" t="str">
        <f>Master_Table[[#This Row],[LES-Type]]&amp;"-"&amp;Master_Table[[#This Row],[Nominal CCT+CRI]]&amp;Master_Table[[#This Row],[Tech]]</f>
        <v>-</v>
      </c>
      <c r="I58"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58" s="94"/>
      <c r="K58" s="94"/>
      <c r="L58" s="94"/>
      <c r="M58" s="102" t="e">
        <f>Master_Table[[#This Row],[Typical Lumens]]/(Master_Table[[#This Row],[Typical Voltage]]*Master_Table[[#This Row],[Typical Current]]/1000)</f>
        <v>#DIV/0!</v>
      </c>
      <c r="N58" s="94"/>
      <c r="O58" s="94"/>
      <c r="P58" s="94"/>
      <c r="Q58" s="94"/>
      <c r="R58" s="94"/>
      <c r="S58" s="94"/>
      <c r="T58" s="94"/>
      <c r="U58" s="94"/>
      <c r="V58" s="94"/>
      <c r="W58" s="94"/>
      <c r="X58" s="94"/>
      <c r="Y58" s="94"/>
      <c r="Z58" s="94"/>
      <c r="AA58" s="94"/>
      <c r="AB58" s="94"/>
      <c r="AC58" s="94"/>
      <c r="AD58" s="94"/>
      <c r="AE58" s="94"/>
      <c r="AF58" s="94"/>
      <c r="AG58" s="94"/>
      <c r="AH58" s="94"/>
      <c r="AI58" s="94"/>
      <c r="AJ58" s="94"/>
      <c r="AK58" s="102" t="e">
        <f>Master_Table[[#This Row],[Typical Lumens2]]/(Master_Table[[#This Row],[Typical Voltage2]]*Master_Table[[#This Row],[Typical Current]]/1000)</f>
        <v>#DIV/0!</v>
      </c>
      <c r="AL58" s="94"/>
      <c r="AM58" s="94"/>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4"/>
      <c r="BR58" s="94"/>
      <c r="BS58" s="94"/>
      <c r="BT58" s="94"/>
      <c r="BU58" s="94"/>
      <c r="BV58" s="94"/>
      <c r="BW58" s="94"/>
      <c r="BX58" s="94"/>
      <c r="BY58" s="94"/>
      <c r="BZ58" s="94"/>
      <c r="CA58" s="94"/>
      <c r="CB58" s="94"/>
      <c r="CC58" s="94"/>
      <c r="CD58" s="94"/>
      <c r="CE58" s="94"/>
      <c r="CF58" s="94"/>
    </row>
    <row r="59" spans="1:84" x14ac:dyDescent="0.25">
      <c r="A59" s="94"/>
      <c r="B59" s="94"/>
      <c r="C59" s="94"/>
      <c r="D59" s="94"/>
      <c r="E59" s="94"/>
      <c r="F59" s="94"/>
      <c r="G59" s="94"/>
      <c r="H59" s="147" t="str">
        <f>Master_Table[[#This Row],[LES-Type]]&amp;"-"&amp;Master_Table[[#This Row],[Nominal CCT+CRI]]&amp;Master_Table[[#This Row],[Tech]]</f>
        <v>-</v>
      </c>
      <c r="I59"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59" s="94"/>
      <c r="K59" s="94"/>
      <c r="L59" s="94"/>
      <c r="M59" s="102" t="e">
        <f>Master_Table[[#This Row],[Typical Lumens]]/(Master_Table[[#This Row],[Typical Voltage]]*Master_Table[[#This Row],[Typical Current]]/1000)</f>
        <v>#DIV/0!</v>
      </c>
      <c r="N59" s="94"/>
      <c r="O59" s="94"/>
      <c r="P59" s="94"/>
      <c r="Q59" s="94"/>
      <c r="R59" s="94"/>
      <c r="S59" s="94"/>
      <c r="T59" s="94"/>
      <c r="U59" s="94"/>
      <c r="V59" s="94"/>
      <c r="W59" s="94"/>
      <c r="X59" s="94"/>
      <c r="Y59" s="94"/>
      <c r="Z59" s="94"/>
      <c r="AA59" s="94"/>
      <c r="AB59" s="94"/>
      <c r="AC59" s="94"/>
      <c r="AD59" s="94"/>
      <c r="AE59" s="94"/>
      <c r="AF59" s="94"/>
      <c r="AG59" s="94"/>
      <c r="AH59" s="94"/>
      <c r="AI59" s="94"/>
      <c r="AJ59" s="94"/>
      <c r="AK59" s="102" t="e">
        <f>Master_Table[[#This Row],[Typical Lumens2]]/(Master_Table[[#This Row],[Typical Voltage2]]*Master_Table[[#This Row],[Typical Current]]/1000)</f>
        <v>#DIV/0!</v>
      </c>
      <c r="AL59" s="94"/>
      <c r="AM59" s="94"/>
      <c r="AN59" s="94"/>
      <c r="AO59" s="94"/>
      <c r="AP59" s="94"/>
      <c r="AQ59" s="94"/>
      <c r="AR59" s="94"/>
      <c r="AS59" s="94"/>
      <c r="AT59" s="94"/>
      <c r="AU59" s="94"/>
      <c r="AV59" s="94"/>
      <c r="AW59" s="94"/>
      <c r="AX59" s="94"/>
      <c r="AY59" s="94"/>
      <c r="AZ59" s="94"/>
      <c r="BA59" s="94"/>
      <c r="BB59" s="94"/>
      <c r="BC59" s="94"/>
      <c r="BD59" s="94"/>
      <c r="BE59" s="94"/>
      <c r="BF59" s="94"/>
      <c r="BG59" s="94"/>
      <c r="BH59" s="94"/>
      <c r="BI59" s="94"/>
      <c r="BJ59" s="94"/>
      <c r="BK59" s="94"/>
      <c r="BL59" s="94"/>
      <c r="BM59" s="94"/>
      <c r="BN59" s="94"/>
      <c r="BO59" s="94"/>
      <c r="BP59" s="94"/>
      <c r="BQ59" s="94"/>
      <c r="BR59" s="94"/>
      <c r="BS59" s="103"/>
      <c r="BT59" s="103"/>
      <c r="BU59" s="103"/>
      <c r="BV59" s="103"/>
      <c r="BW59" s="94"/>
      <c r="BX59" s="94"/>
      <c r="BY59" s="94"/>
      <c r="BZ59" s="94"/>
      <c r="CA59" s="94"/>
      <c r="CB59" s="94"/>
      <c r="CC59" s="94"/>
      <c r="CD59" s="94"/>
      <c r="CE59" s="94"/>
      <c r="CF59" s="94"/>
    </row>
    <row r="60" spans="1:84" x14ac:dyDescent="0.25">
      <c r="A60" s="94"/>
      <c r="B60" s="94"/>
      <c r="C60" s="94"/>
      <c r="D60" s="94"/>
      <c r="E60" s="94"/>
      <c r="F60" s="94"/>
      <c r="G60" s="94"/>
      <c r="H60" s="147" t="str">
        <f>Master_Table[[#This Row],[LES-Type]]&amp;"-"&amp;Master_Table[[#This Row],[Nominal CCT+CRI]]&amp;Master_Table[[#This Row],[Tech]]</f>
        <v>-</v>
      </c>
      <c r="I60"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0" s="94"/>
      <c r="K60" s="94"/>
      <c r="L60" s="94"/>
      <c r="M60" s="102" t="e">
        <f>Master_Table[[#This Row],[Typical Lumens]]/(Master_Table[[#This Row],[Typical Voltage]]*Master_Table[[#This Row],[Typical Current]]/1000)</f>
        <v>#DIV/0!</v>
      </c>
      <c r="N60" s="94"/>
      <c r="O60" s="94"/>
      <c r="P60" s="94"/>
      <c r="Q60" s="94"/>
      <c r="R60" s="94"/>
      <c r="S60" s="94"/>
      <c r="T60" s="94"/>
      <c r="U60" s="94"/>
      <c r="V60" s="94"/>
      <c r="W60" s="94"/>
      <c r="X60" s="94"/>
      <c r="Y60" s="94"/>
      <c r="Z60" s="94"/>
      <c r="AA60" s="94"/>
      <c r="AB60" s="94"/>
      <c r="AC60" s="94"/>
      <c r="AD60" s="94"/>
      <c r="AE60" s="94"/>
      <c r="AF60" s="94"/>
      <c r="AG60" s="94"/>
      <c r="AH60" s="94"/>
      <c r="AI60" s="94"/>
      <c r="AJ60" s="94"/>
      <c r="AK60" s="102" t="e">
        <f>Master_Table[[#This Row],[Typical Lumens2]]/(Master_Table[[#This Row],[Typical Voltage2]]*Master_Table[[#This Row],[Typical Current]]/1000)</f>
        <v>#DIV/0!</v>
      </c>
      <c r="AL60" s="94"/>
      <c r="AM60" s="94"/>
      <c r="AN60" s="94"/>
      <c r="AO60" s="94"/>
      <c r="AP60" s="94"/>
      <c r="AQ60" s="94"/>
      <c r="AR60" s="94"/>
      <c r="AS60" s="94"/>
      <c r="AT60" s="94"/>
      <c r="AU60" s="94"/>
      <c r="AV60" s="94"/>
      <c r="AW60" s="94"/>
      <c r="AX60" s="94"/>
      <c r="AY60" s="94"/>
      <c r="AZ60" s="94"/>
      <c r="BA60" s="94"/>
      <c r="BB60" s="94"/>
      <c r="BC60" s="94"/>
      <c r="BD60" s="94"/>
      <c r="BE60" s="94"/>
      <c r="BF60" s="94"/>
      <c r="BG60" s="94"/>
      <c r="BH60" s="94"/>
      <c r="BI60" s="94"/>
      <c r="BJ60" s="94"/>
      <c r="BK60" s="94"/>
      <c r="BL60" s="94"/>
      <c r="BM60" s="94"/>
      <c r="BN60" s="94"/>
      <c r="BO60" s="94"/>
      <c r="BP60" s="94"/>
      <c r="BQ60" s="94"/>
      <c r="BR60" s="94"/>
      <c r="BS60" s="94"/>
      <c r="BT60" s="94"/>
      <c r="BU60" s="94"/>
      <c r="BV60" s="94"/>
      <c r="BW60" s="94"/>
      <c r="BX60" s="94"/>
      <c r="BY60" s="94"/>
      <c r="BZ60" s="94"/>
      <c r="CA60" s="94"/>
      <c r="CB60" s="94"/>
      <c r="CC60" s="94"/>
      <c r="CD60" s="94"/>
      <c r="CE60" s="94"/>
      <c r="CF60" s="94"/>
    </row>
    <row r="61" spans="1:84" x14ac:dyDescent="0.25">
      <c r="A61" s="94"/>
      <c r="B61" s="94"/>
      <c r="C61" s="94"/>
      <c r="D61" s="94"/>
      <c r="E61" s="94"/>
      <c r="F61" s="94"/>
      <c r="G61" s="94"/>
      <c r="H61" s="147" t="str">
        <f>Master_Table[[#This Row],[LES-Type]]&amp;"-"&amp;Master_Table[[#This Row],[Nominal CCT+CRI]]&amp;Master_Table[[#This Row],[Tech]]</f>
        <v>-</v>
      </c>
      <c r="I61"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1" s="94"/>
      <c r="K61" s="94"/>
      <c r="L61" s="94"/>
      <c r="M61" s="102" t="e">
        <f>Master_Table[[#This Row],[Typical Lumens]]/(Master_Table[[#This Row],[Typical Voltage]]*Master_Table[[#This Row],[Typical Current]]/1000)</f>
        <v>#DIV/0!</v>
      </c>
      <c r="N61" s="94"/>
      <c r="O61" s="94"/>
      <c r="P61" s="94"/>
      <c r="Q61" s="94"/>
      <c r="R61" s="94"/>
      <c r="S61" s="94"/>
      <c r="T61" s="94"/>
      <c r="U61" s="94"/>
      <c r="V61" s="94"/>
      <c r="W61" s="94"/>
      <c r="X61" s="94"/>
      <c r="Y61" s="94"/>
      <c r="Z61" s="94"/>
      <c r="AA61" s="94"/>
      <c r="AB61" s="94"/>
      <c r="AC61" s="94"/>
      <c r="AD61" s="94"/>
      <c r="AE61" s="94"/>
      <c r="AF61" s="94"/>
      <c r="AG61" s="94"/>
      <c r="AH61" s="94"/>
      <c r="AI61" s="94"/>
      <c r="AJ61" s="94"/>
      <c r="AK61" s="102" t="e">
        <f>Master_Table[[#This Row],[Typical Lumens2]]/(Master_Table[[#This Row],[Typical Voltage2]]*Master_Table[[#This Row],[Typical Current]]/1000)</f>
        <v>#DIV/0!</v>
      </c>
      <c r="AL61" s="94"/>
      <c r="AM61" s="94"/>
      <c r="AN61" s="94"/>
      <c r="AO61" s="94"/>
      <c r="AP61" s="94"/>
      <c r="AQ61" s="94"/>
      <c r="AR61" s="94"/>
      <c r="AS61" s="94"/>
      <c r="AT61" s="94"/>
      <c r="AU61" s="94"/>
      <c r="AV61" s="94"/>
      <c r="AW61" s="94"/>
      <c r="AX61" s="94"/>
      <c r="AY61" s="94"/>
      <c r="AZ61" s="94"/>
      <c r="BA61" s="94"/>
      <c r="BB61" s="94"/>
      <c r="BC61" s="94"/>
      <c r="BD61" s="94"/>
      <c r="BE61" s="94"/>
      <c r="BF61" s="94"/>
      <c r="BG61" s="94"/>
      <c r="BH61" s="94"/>
      <c r="BI61" s="94"/>
      <c r="BJ61" s="94"/>
      <c r="BK61" s="94"/>
      <c r="BL61" s="94"/>
      <c r="BM61" s="94"/>
      <c r="BN61" s="94"/>
      <c r="BO61" s="94"/>
      <c r="BP61" s="94"/>
      <c r="BQ61" s="94"/>
      <c r="BR61" s="94"/>
      <c r="BS61" s="94"/>
      <c r="BT61" s="94"/>
      <c r="BU61" s="94"/>
      <c r="BV61" s="94"/>
      <c r="BW61" s="94"/>
      <c r="BX61" s="94"/>
      <c r="BY61" s="94"/>
      <c r="BZ61" s="94"/>
      <c r="CA61" s="94"/>
      <c r="CB61" s="94"/>
      <c r="CC61" s="94"/>
      <c r="CD61" s="94"/>
      <c r="CE61" s="94"/>
      <c r="CF61" s="94"/>
    </row>
    <row r="62" spans="1:84" x14ac:dyDescent="0.25">
      <c r="A62" s="94"/>
      <c r="B62" s="94"/>
      <c r="C62" s="94"/>
      <c r="D62" s="94"/>
      <c r="E62" s="94"/>
      <c r="F62" s="94"/>
      <c r="G62" s="94"/>
      <c r="H62" s="147" t="str">
        <f>Master_Table[[#This Row],[LES-Type]]&amp;"-"&amp;Master_Table[[#This Row],[Nominal CCT+CRI]]&amp;Master_Table[[#This Row],[Tech]]</f>
        <v>-</v>
      </c>
      <c r="I62"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2" s="94"/>
      <c r="K62" s="94"/>
      <c r="L62" s="94"/>
      <c r="M62" s="102" t="e">
        <f>Master_Table[[#This Row],[Typical Lumens]]/(Master_Table[[#This Row],[Typical Voltage]]*Master_Table[[#This Row],[Typical Current]]/1000)</f>
        <v>#DIV/0!</v>
      </c>
      <c r="N62" s="94"/>
      <c r="O62" s="94"/>
      <c r="P62" s="94"/>
      <c r="Q62" s="94"/>
      <c r="R62" s="94"/>
      <c r="S62" s="94"/>
      <c r="T62" s="94"/>
      <c r="U62" s="94"/>
      <c r="V62" s="94"/>
      <c r="W62" s="94"/>
      <c r="X62" s="94"/>
      <c r="Y62" s="94"/>
      <c r="Z62" s="94"/>
      <c r="AA62" s="94"/>
      <c r="AB62" s="94"/>
      <c r="AC62" s="94"/>
      <c r="AD62" s="94"/>
      <c r="AE62" s="94"/>
      <c r="AF62" s="94"/>
      <c r="AG62" s="94"/>
      <c r="AH62" s="94"/>
      <c r="AI62" s="94"/>
      <c r="AJ62" s="94"/>
      <c r="AK62" s="102" t="e">
        <f>Master_Table[[#This Row],[Typical Lumens2]]/(Master_Table[[#This Row],[Typical Voltage2]]*Master_Table[[#This Row],[Typical Current]]/1000)</f>
        <v>#DIV/0!</v>
      </c>
      <c r="AL62" s="94"/>
      <c r="AM62" s="94"/>
      <c r="AN62" s="94"/>
      <c r="AO62" s="94"/>
      <c r="AP62" s="94"/>
      <c r="AQ62" s="94"/>
      <c r="AR62" s="94"/>
      <c r="AS62" s="94"/>
      <c r="AT62" s="94"/>
      <c r="AU62" s="94"/>
      <c r="AV62" s="94"/>
      <c r="AW62" s="94"/>
      <c r="AX62" s="94"/>
      <c r="AY62" s="94"/>
      <c r="AZ62" s="94"/>
      <c r="BA62" s="94"/>
      <c r="BB62" s="94"/>
      <c r="BC62" s="94"/>
      <c r="BD62" s="94"/>
      <c r="BE62" s="94"/>
      <c r="BF62" s="94"/>
      <c r="BG62" s="94"/>
      <c r="BH62" s="94"/>
      <c r="BI62" s="94"/>
      <c r="BJ62" s="94"/>
      <c r="BK62" s="94"/>
      <c r="BL62" s="94"/>
      <c r="BM62" s="94"/>
      <c r="BN62" s="94"/>
      <c r="BO62" s="94"/>
      <c r="BP62" s="94"/>
      <c r="BQ62" s="94"/>
      <c r="BR62" s="94"/>
      <c r="BS62" s="94"/>
      <c r="BT62" s="94"/>
      <c r="BU62" s="94"/>
      <c r="BV62" s="94"/>
      <c r="BW62" s="94"/>
      <c r="BX62" s="94"/>
      <c r="BY62" s="94"/>
      <c r="BZ62" s="94"/>
      <c r="CA62" s="94"/>
      <c r="CB62" s="94"/>
      <c r="CC62" s="94"/>
      <c r="CD62" s="94"/>
      <c r="CE62" s="94"/>
      <c r="CF62" s="94"/>
    </row>
    <row r="63" spans="1:84" x14ac:dyDescent="0.25">
      <c r="A63" s="94"/>
      <c r="B63" s="94"/>
      <c r="C63" s="94"/>
      <c r="D63" s="94"/>
      <c r="E63" s="94"/>
      <c r="F63" s="94"/>
      <c r="G63" s="94"/>
      <c r="H63" s="147" t="str">
        <f>Master_Table[[#This Row],[LES-Type]]&amp;"-"&amp;Master_Table[[#This Row],[Nominal CCT+CRI]]&amp;Master_Table[[#This Row],[Tech]]</f>
        <v>-</v>
      </c>
      <c r="I63"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3" s="94"/>
      <c r="K63" s="94"/>
      <c r="L63" s="94"/>
      <c r="M63" s="102" t="e">
        <f>Master_Table[[#This Row],[Typical Lumens]]/(Master_Table[[#This Row],[Typical Voltage]]*Master_Table[[#This Row],[Typical Current]]/1000)</f>
        <v>#DIV/0!</v>
      </c>
      <c r="N63" s="94"/>
      <c r="O63" s="94"/>
      <c r="P63" s="94"/>
      <c r="Q63" s="94"/>
      <c r="R63" s="94"/>
      <c r="S63" s="94"/>
      <c r="T63" s="94"/>
      <c r="U63" s="94"/>
      <c r="V63" s="94"/>
      <c r="W63" s="94"/>
      <c r="X63" s="94"/>
      <c r="Y63" s="94"/>
      <c r="Z63" s="94"/>
      <c r="AA63" s="94"/>
      <c r="AB63" s="94"/>
      <c r="AC63" s="94"/>
      <c r="AD63" s="94"/>
      <c r="AE63" s="94"/>
      <c r="AF63" s="94"/>
      <c r="AG63" s="94"/>
      <c r="AH63" s="94"/>
      <c r="AI63" s="94"/>
      <c r="AJ63" s="94"/>
      <c r="AK63" s="102" t="e">
        <f>Master_Table[[#This Row],[Typical Lumens2]]/(Master_Table[[#This Row],[Typical Voltage2]]*Master_Table[[#This Row],[Typical Current]]/1000)</f>
        <v>#DIV/0!</v>
      </c>
      <c r="AL63" s="94"/>
      <c r="AM63" s="94"/>
      <c r="AN63" s="94"/>
      <c r="AO63" s="94"/>
      <c r="AP63" s="94"/>
      <c r="AQ63" s="94"/>
      <c r="AR63" s="94"/>
      <c r="AS63" s="94"/>
      <c r="AT63" s="94"/>
      <c r="AU63" s="94"/>
      <c r="AV63" s="94"/>
      <c r="AW63" s="94"/>
      <c r="AX63" s="94"/>
      <c r="AY63" s="94"/>
      <c r="AZ63" s="94"/>
      <c r="BA63" s="94"/>
      <c r="BB63" s="94"/>
      <c r="BC63" s="94"/>
      <c r="BD63" s="94"/>
      <c r="BE63" s="94"/>
      <c r="BF63" s="94"/>
      <c r="BG63" s="94"/>
      <c r="BH63" s="94"/>
      <c r="BI63" s="94"/>
      <c r="BJ63" s="94"/>
      <c r="BK63" s="94"/>
      <c r="BL63" s="94"/>
      <c r="BM63" s="94"/>
      <c r="BN63" s="94"/>
      <c r="BO63" s="94"/>
      <c r="BP63" s="94"/>
      <c r="BQ63" s="94"/>
      <c r="BR63" s="94"/>
      <c r="BS63" s="94"/>
      <c r="BT63" s="94"/>
      <c r="BU63" s="94"/>
      <c r="BV63" s="94"/>
      <c r="BW63" s="94"/>
      <c r="BX63" s="94"/>
      <c r="BY63" s="94"/>
      <c r="BZ63" s="94"/>
      <c r="CA63" s="94"/>
      <c r="CB63" s="94"/>
      <c r="CC63" s="94"/>
      <c r="CD63" s="94"/>
      <c r="CE63" s="94"/>
      <c r="CF63" s="94"/>
    </row>
    <row r="64" spans="1:84" x14ac:dyDescent="0.25">
      <c r="A64" s="94"/>
      <c r="B64" s="94"/>
      <c r="C64" s="94"/>
      <c r="D64" s="94"/>
      <c r="E64" s="94"/>
      <c r="F64" s="94"/>
      <c r="G64" s="94"/>
      <c r="H64" s="147" t="str">
        <f>Master_Table[[#This Row],[LES-Type]]&amp;"-"&amp;Master_Table[[#This Row],[Nominal CCT+CRI]]&amp;Master_Table[[#This Row],[Tech]]</f>
        <v>-</v>
      </c>
      <c r="I64"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4" s="94"/>
      <c r="K64" s="94"/>
      <c r="L64" s="94"/>
      <c r="M64" s="102" t="e">
        <f>Master_Table[[#This Row],[Typical Lumens]]/(Master_Table[[#This Row],[Typical Voltage]]*Master_Table[[#This Row],[Typical Current]]/1000)</f>
        <v>#DIV/0!</v>
      </c>
      <c r="N64" s="94"/>
      <c r="O64" s="94"/>
      <c r="P64" s="94"/>
      <c r="Q64" s="94"/>
      <c r="R64" s="94"/>
      <c r="S64" s="94"/>
      <c r="T64" s="94"/>
      <c r="U64" s="94"/>
      <c r="V64" s="94"/>
      <c r="W64" s="94"/>
      <c r="X64" s="94"/>
      <c r="Y64" s="94"/>
      <c r="Z64" s="94"/>
      <c r="AA64" s="94"/>
      <c r="AB64" s="94"/>
      <c r="AC64" s="94"/>
      <c r="AD64" s="94"/>
      <c r="AE64" s="94"/>
      <c r="AF64" s="94"/>
      <c r="AG64" s="94"/>
      <c r="AH64" s="94"/>
      <c r="AI64" s="94"/>
      <c r="AJ64" s="94"/>
      <c r="AK64" s="102" t="e">
        <f>Master_Table[[#This Row],[Typical Lumens2]]/(Master_Table[[#This Row],[Typical Voltage2]]*Master_Table[[#This Row],[Typical Current]]/1000)</f>
        <v>#DIV/0!</v>
      </c>
      <c r="AL64" s="94"/>
      <c r="AM64" s="94"/>
      <c r="AN64" s="94"/>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BM64" s="94"/>
      <c r="BN64" s="94"/>
      <c r="BO64" s="94"/>
      <c r="BP64" s="94"/>
      <c r="BQ64" s="94"/>
      <c r="BR64" s="94"/>
      <c r="BS64" s="94"/>
      <c r="BT64" s="94"/>
      <c r="BU64" s="94"/>
      <c r="BV64" s="94"/>
      <c r="BW64" s="94"/>
      <c r="BX64" s="94"/>
      <c r="BY64" s="94"/>
      <c r="BZ64" s="94"/>
      <c r="CA64" s="94"/>
      <c r="CB64" s="94"/>
      <c r="CC64" s="94"/>
      <c r="CD64" s="94"/>
      <c r="CE64" s="94"/>
      <c r="CF64" s="94"/>
    </row>
    <row r="65" spans="1:84" x14ac:dyDescent="0.25">
      <c r="A65" s="94"/>
      <c r="B65" s="94"/>
      <c r="C65" s="94"/>
      <c r="D65" s="94"/>
      <c r="E65" s="94"/>
      <c r="F65" s="94"/>
      <c r="G65" s="94"/>
      <c r="H65" s="147" t="str">
        <f>Master_Table[[#This Row],[LES-Type]]&amp;"-"&amp;Master_Table[[#This Row],[Nominal CCT+CRI]]&amp;Master_Table[[#This Row],[Tech]]</f>
        <v>-</v>
      </c>
      <c r="I65"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5" s="94"/>
      <c r="K65" s="94"/>
      <c r="L65" s="94"/>
      <c r="M65" s="102" t="e">
        <f>Master_Table[[#This Row],[Typical Lumens]]/(Master_Table[[#This Row],[Typical Voltage]]*Master_Table[[#This Row],[Typical Current]]/1000)</f>
        <v>#DIV/0!</v>
      </c>
      <c r="N65" s="94"/>
      <c r="O65" s="94"/>
      <c r="P65" s="94"/>
      <c r="Q65" s="94"/>
      <c r="R65" s="94"/>
      <c r="S65" s="94"/>
      <c r="T65" s="94"/>
      <c r="U65" s="94"/>
      <c r="V65" s="94"/>
      <c r="W65" s="94"/>
      <c r="X65" s="94"/>
      <c r="Y65" s="94"/>
      <c r="Z65" s="94"/>
      <c r="AA65" s="94"/>
      <c r="AB65" s="94"/>
      <c r="AC65" s="94"/>
      <c r="AD65" s="94"/>
      <c r="AE65" s="94"/>
      <c r="AF65" s="94"/>
      <c r="AG65" s="94"/>
      <c r="AH65" s="94"/>
      <c r="AI65" s="94"/>
      <c r="AJ65" s="94"/>
      <c r="AK65" s="102" t="e">
        <f>Master_Table[[#This Row],[Typical Lumens2]]/(Master_Table[[#This Row],[Typical Voltage2]]*Master_Table[[#This Row],[Typical Current]]/1000)</f>
        <v>#DIV/0!</v>
      </c>
      <c r="AL65" s="94"/>
      <c r="AM65" s="94"/>
      <c r="AN65" s="94"/>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BM65" s="94"/>
      <c r="BN65" s="94"/>
      <c r="BO65" s="94"/>
      <c r="BP65" s="94"/>
      <c r="BQ65" s="94"/>
      <c r="BR65" s="94"/>
      <c r="BS65" s="94"/>
      <c r="BT65" s="94"/>
      <c r="BU65" s="94"/>
      <c r="BV65" s="94"/>
      <c r="BW65" s="94"/>
      <c r="BX65" s="94"/>
      <c r="BY65" s="94"/>
      <c r="BZ65" s="94"/>
      <c r="CA65" s="94"/>
      <c r="CB65" s="94"/>
      <c r="CC65" s="94"/>
      <c r="CD65" s="94"/>
      <c r="CE65" s="94"/>
      <c r="CF65" s="94"/>
    </row>
    <row r="66" spans="1:84" x14ac:dyDescent="0.25">
      <c r="A66" s="94"/>
      <c r="B66" s="94"/>
      <c r="C66" s="94"/>
      <c r="D66" s="94"/>
      <c r="E66" s="94"/>
      <c r="F66" s="94"/>
      <c r="G66" s="94"/>
      <c r="H66" s="147" t="str">
        <f>Master_Table[[#This Row],[LES-Type]]&amp;"-"&amp;Master_Table[[#This Row],[Nominal CCT+CRI]]&amp;Master_Table[[#This Row],[Tech]]</f>
        <v>-</v>
      </c>
      <c r="I66"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6" s="94"/>
      <c r="K66" s="94"/>
      <c r="L66" s="94"/>
      <c r="M66" s="102" t="e">
        <f>Master_Table[[#This Row],[Typical Lumens]]/(Master_Table[[#This Row],[Typical Voltage]]*Master_Table[[#This Row],[Typical Current]]/1000)</f>
        <v>#DIV/0!</v>
      </c>
      <c r="N66" s="94"/>
      <c r="O66" s="94"/>
      <c r="P66" s="94"/>
      <c r="Q66" s="94"/>
      <c r="R66" s="94"/>
      <c r="S66" s="94"/>
      <c r="T66" s="94"/>
      <c r="U66" s="94"/>
      <c r="V66" s="94"/>
      <c r="W66" s="94"/>
      <c r="X66" s="94"/>
      <c r="Y66" s="94"/>
      <c r="Z66" s="94"/>
      <c r="AA66" s="94"/>
      <c r="AB66" s="94"/>
      <c r="AC66" s="94"/>
      <c r="AD66" s="94"/>
      <c r="AE66" s="94"/>
      <c r="AF66" s="94"/>
      <c r="AG66" s="94"/>
      <c r="AH66" s="94"/>
      <c r="AI66" s="94"/>
      <c r="AJ66" s="94"/>
      <c r="AK66" s="102" t="e">
        <f>Master_Table[[#This Row],[Typical Lumens2]]/(Master_Table[[#This Row],[Typical Voltage2]]*Master_Table[[#This Row],[Typical Current]]/1000)</f>
        <v>#DIV/0!</v>
      </c>
      <c r="AL66" s="94"/>
      <c r="AM66" s="94"/>
      <c r="AN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4"/>
      <c r="BR66" s="94"/>
      <c r="BS66" s="94"/>
      <c r="BT66" s="94"/>
      <c r="BU66" s="94"/>
      <c r="BV66" s="94"/>
      <c r="BW66" s="94"/>
      <c r="BX66" s="94"/>
      <c r="BY66" s="94"/>
      <c r="BZ66" s="94"/>
      <c r="CA66" s="94"/>
      <c r="CB66" s="94"/>
      <c r="CC66" s="94"/>
      <c r="CD66" s="94"/>
      <c r="CE66" s="94"/>
      <c r="CF66" s="94"/>
    </row>
    <row r="67" spans="1:84" x14ac:dyDescent="0.25">
      <c r="A67" s="94"/>
      <c r="B67" s="94"/>
      <c r="C67" s="94"/>
      <c r="D67" s="94"/>
      <c r="E67" s="94"/>
      <c r="F67" s="94"/>
      <c r="G67" s="94"/>
      <c r="H67" s="147" t="str">
        <f>Master_Table[[#This Row],[LES-Type]]&amp;"-"&amp;Master_Table[[#This Row],[Nominal CCT+CRI]]&amp;Master_Table[[#This Row],[Tech]]</f>
        <v>-</v>
      </c>
      <c r="I67"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7" s="94"/>
      <c r="K67" s="94"/>
      <c r="L67" s="94"/>
      <c r="M67" s="102" t="e">
        <f>Master_Table[[#This Row],[Typical Lumens]]/(Master_Table[[#This Row],[Typical Voltage]]*Master_Table[[#This Row],[Typical Current]]/1000)</f>
        <v>#DIV/0!</v>
      </c>
      <c r="N67" s="94"/>
      <c r="O67" s="94"/>
      <c r="P67" s="94"/>
      <c r="Q67" s="94"/>
      <c r="R67" s="94"/>
      <c r="S67" s="94"/>
      <c r="T67" s="94"/>
      <c r="U67" s="94"/>
      <c r="V67" s="94"/>
      <c r="W67" s="94"/>
      <c r="X67" s="94"/>
      <c r="Y67" s="94"/>
      <c r="Z67" s="94"/>
      <c r="AA67" s="94"/>
      <c r="AB67" s="94"/>
      <c r="AC67" s="94"/>
      <c r="AD67" s="94"/>
      <c r="AE67" s="94"/>
      <c r="AF67" s="94"/>
      <c r="AG67" s="94"/>
      <c r="AH67" s="94"/>
      <c r="AI67" s="94"/>
      <c r="AJ67" s="94"/>
      <c r="AK67" s="102" t="e">
        <f>Master_Table[[#This Row],[Typical Lumens2]]/(Master_Table[[#This Row],[Typical Voltage2]]*Master_Table[[#This Row],[Typical Current]]/1000)</f>
        <v>#DIV/0!</v>
      </c>
      <c r="AL67" s="94"/>
      <c r="AM67" s="94"/>
      <c r="AN67" s="9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BM67" s="94"/>
      <c r="BN67" s="94"/>
      <c r="BO67" s="94"/>
      <c r="BP67" s="94"/>
      <c r="BQ67" s="94"/>
      <c r="BR67" s="94"/>
      <c r="BS67" s="94"/>
      <c r="BT67" s="94"/>
      <c r="BU67" s="94"/>
      <c r="BV67" s="94"/>
      <c r="BW67" s="94"/>
      <c r="BX67" s="94"/>
      <c r="BY67" s="94"/>
      <c r="BZ67" s="94"/>
      <c r="CA67" s="94"/>
      <c r="CB67" s="94"/>
      <c r="CC67" s="94"/>
      <c r="CD67" s="94"/>
      <c r="CE67" s="94"/>
      <c r="CF67" s="94"/>
    </row>
    <row r="68" spans="1:84" x14ac:dyDescent="0.25">
      <c r="A68" s="94"/>
      <c r="B68" s="94"/>
      <c r="C68" s="94"/>
      <c r="D68" s="94"/>
      <c r="E68" s="94"/>
      <c r="F68" s="94"/>
      <c r="G68" s="94"/>
      <c r="H68" s="147" t="str">
        <f>Master_Table[[#This Row],[LES-Type]]&amp;"-"&amp;Master_Table[[#This Row],[Nominal CCT+CRI]]&amp;Master_Table[[#This Row],[Tech]]</f>
        <v>-</v>
      </c>
      <c r="I68"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8" s="94"/>
      <c r="K68" s="94"/>
      <c r="L68" s="94"/>
      <c r="M68" s="102" t="e">
        <f>Master_Table[[#This Row],[Typical Lumens]]/(Master_Table[[#This Row],[Typical Voltage]]*Master_Table[[#This Row],[Typical Current]]/1000)</f>
        <v>#DIV/0!</v>
      </c>
      <c r="N68" s="94"/>
      <c r="O68" s="94"/>
      <c r="P68" s="94"/>
      <c r="Q68" s="94"/>
      <c r="R68" s="94"/>
      <c r="S68" s="94"/>
      <c r="T68" s="94"/>
      <c r="U68" s="94"/>
      <c r="V68" s="94"/>
      <c r="W68" s="94"/>
      <c r="X68" s="94"/>
      <c r="Y68" s="94"/>
      <c r="Z68" s="94"/>
      <c r="AA68" s="94"/>
      <c r="AB68" s="94"/>
      <c r="AC68" s="94"/>
      <c r="AD68" s="94"/>
      <c r="AE68" s="94"/>
      <c r="AF68" s="94"/>
      <c r="AG68" s="94"/>
      <c r="AH68" s="94"/>
      <c r="AI68" s="94"/>
      <c r="AJ68" s="94"/>
      <c r="AK68" s="102" t="e">
        <f>Master_Table[[#This Row],[Typical Lumens2]]/(Master_Table[[#This Row],[Typical Voltage2]]*Master_Table[[#This Row],[Typical Current]]/1000)</f>
        <v>#DIV/0!</v>
      </c>
      <c r="AL68" s="94"/>
      <c r="AM68" s="94"/>
      <c r="AN68" s="94"/>
      <c r="AO68" s="94"/>
      <c r="AP68" s="94"/>
      <c r="AQ68" s="94"/>
      <c r="AR68" s="94"/>
      <c r="AS68" s="94"/>
      <c r="AT68" s="94"/>
      <c r="AU68" s="94"/>
      <c r="AV68" s="94"/>
      <c r="AW68" s="94"/>
      <c r="AX68" s="94"/>
      <c r="AY68" s="94"/>
      <c r="AZ68" s="94"/>
      <c r="BA68" s="94"/>
      <c r="BB68" s="94"/>
      <c r="BC68" s="94"/>
      <c r="BD68" s="94"/>
      <c r="BE68" s="94"/>
      <c r="BF68" s="94"/>
      <c r="BG68" s="94"/>
      <c r="BH68" s="94"/>
      <c r="BI68" s="94"/>
      <c r="BJ68" s="94"/>
      <c r="BK68" s="94"/>
      <c r="BL68" s="94"/>
      <c r="BM68" s="94"/>
      <c r="BN68" s="94"/>
      <c r="BO68" s="94"/>
      <c r="BP68" s="94"/>
      <c r="BQ68" s="94"/>
      <c r="BR68" s="94"/>
      <c r="BS68" s="94"/>
      <c r="BT68" s="94"/>
      <c r="BU68" s="94"/>
      <c r="BV68" s="94"/>
      <c r="BW68" s="94"/>
      <c r="BX68" s="94"/>
      <c r="BY68" s="94"/>
      <c r="BZ68" s="94"/>
      <c r="CA68" s="94"/>
      <c r="CB68" s="94"/>
      <c r="CC68" s="94"/>
      <c r="CD68" s="94"/>
      <c r="CE68" s="94"/>
      <c r="CF68" s="94"/>
    </row>
    <row r="69" spans="1:84" x14ac:dyDescent="0.25">
      <c r="A69" s="94"/>
      <c r="B69" s="94"/>
      <c r="C69" s="94"/>
      <c r="D69" s="94"/>
      <c r="E69" s="94"/>
      <c r="F69" s="94"/>
      <c r="G69" s="94"/>
      <c r="H69" s="147" t="str">
        <f>Master_Table[[#This Row],[LES-Type]]&amp;"-"&amp;Master_Table[[#This Row],[Nominal CCT+CRI]]&amp;Master_Table[[#This Row],[Tech]]</f>
        <v>-</v>
      </c>
      <c r="I69"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69" s="94"/>
      <c r="K69" s="94"/>
      <c r="L69" s="94"/>
      <c r="M69" s="102" t="e">
        <f>Master_Table[[#This Row],[Typical Lumens]]/(Master_Table[[#This Row],[Typical Voltage]]*Master_Table[[#This Row],[Typical Current]]/1000)</f>
        <v>#DIV/0!</v>
      </c>
      <c r="N69" s="94"/>
      <c r="O69" s="94"/>
      <c r="P69" s="94"/>
      <c r="Q69" s="94"/>
      <c r="R69" s="94"/>
      <c r="S69" s="94"/>
      <c r="T69" s="94"/>
      <c r="U69" s="94"/>
      <c r="V69" s="94"/>
      <c r="W69" s="94"/>
      <c r="X69" s="94"/>
      <c r="Y69" s="94"/>
      <c r="Z69" s="94"/>
      <c r="AA69" s="94"/>
      <c r="AB69" s="94"/>
      <c r="AC69" s="94"/>
      <c r="AD69" s="94"/>
      <c r="AE69" s="94"/>
      <c r="AF69" s="94"/>
      <c r="AG69" s="94"/>
      <c r="AH69" s="94"/>
      <c r="AI69" s="94"/>
      <c r="AJ69" s="94"/>
      <c r="AK69" s="102" t="e">
        <f>Master_Table[[#This Row],[Typical Lumens2]]/(Master_Table[[#This Row],[Typical Voltage2]]*Master_Table[[#This Row],[Typical Current]]/1000)</f>
        <v>#DIV/0!</v>
      </c>
      <c r="AL69" s="94"/>
      <c r="AM69" s="94"/>
      <c r="AN69" s="9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c r="BM69" s="94"/>
      <c r="BN69" s="94"/>
      <c r="BO69" s="94"/>
      <c r="BP69" s="94"/>
      <c r="BQ69" s="94"/>
      <c r="BR69" s="94"/>
      <c r="BS69" s="94"/>
      <c r="BT69" s="94"/>
      <c r="BU69" s="94"/>
      <c r="BV69" s="94"/>
      <c r="BW69" s="94"/>
      <c r="BX69" s="94"/>
      <c r="BY69" s="94"/>
      <c r="BZ69" s="94"/>
      <c r="CA69" s="94"/>
      <c r="CB69" s="94"/>
      <c r="CC69" s="94"/>
      <c r="CD69" s="94"/>
      <c r="CE69" s="94"/>
      <c r="CF69" s="94"/>
    </row>
    <row r="70" spans="1:84" x14ac:dyDescent="0.25">
      <c r="A70" s="94"/>
      <c r="B70" s="94"/>
      <c r="C70" s="94"/>
      <c r="D70" s="94"/>
      <c r="E70" s="94"/>
      <c r="F70" s="94"/>
      <c r="G70" s="94"/>
      <c r="H70" s="147" t="str">
        <f>Master_Table[[#This Row],[LES-Type]]&amp;"-"&amp;Master_Table[[#This Row],[Nominal CCT+CRI]]&amp;Master_Table[[#This Row],[Tech]]</f>
        <v>-</v>
      </c>
      <c r="I70"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0" s="94"/>
      <c r="K70" s="94"/>
      <c r="L70" s="94"/>
      <c r="M70" s="102" t="e">
        <f>Master_Table[[#This Row],[Typical Lumens]]/(Master_Table[[#This Row],[Typical Voltage]]*Master_Table[[#This Row],[Typical Current]]/1000)</f>
        <v>#DIV/0!</v>
      </c>
      <c r="N70" s="94"/>
      <c r="O70" s="94"/>
      <c r="P70" s="94"/>
      <c r="Q70" s="94"/>
      <c r="R70" s="94"/>
      <c r="S70" s="94"/>
      <c r="T70" s="94"/>
      <c r="U70" s="94"/>
      <c r="V70" s="94"/>
      <c r="W70" s="94"/>
      <c r="X70" s="94"/>
      <c r="Y70" s="94"/>
      <c r="Z70" s="94"/>
      <c r="AA70" s="94"/>
      <c r="AB70" s="94"/>
      <c r="AC70" s="94"/>
      <c r="AD70" s="94"/>
      <c r="AE70" s="94"/>
      <c r="AF70" s="94"/>
      <c r="AG70" s="94"/>
      <c r="AH70" s="94"/>
      <c r="AI70" s="94"/>
      <c r="AJ70" s="94"/>
      <c r="AK70" s="102" t="e">
        <f>Master_Table[[#This Row],[Typical Lumens2]]/(Master_Table[[#This Row],[Typical Voltage2]]*Master_Table[[#This Row],[Typical Current]]/1000)</f>
        <v>#DIV/0!</v>
      </c>
      <c r="AL70" s="94"/>
      <c r="AM70" s="94"/>
      <c r="AN70" s="94"/>
      <c r="AO70" s="94"/>
      <c r="AP70" s="94"/>
      <c r="AQ70" s="94"/>
      <c r="AR70" s="94"/>
      <c r="AS70" s="94"/>
      <c r="AT70" s="94"/>
      <c r="AU70" s="94"/>
      <c r="AV70" s="94"/>
      <c r="AW70" s="94"/>
      <c r="AX70" s="94"/>
      <c r="AY70" s="94"/>
      <c r="AZ70" s="94"/>
      <c r="BA70" s="94"/>
      <c r="BB70" s="94"/>
      <c r="BC70" s="94"/>
      <c r="BD70" s="94"/>
      <c r="BE70" s="94"/>
      <c r="BF70" s="94"/>
      <c r="BG70" s="94"/>
      <c r="BH70" s="94"/>
      <c r="BI70" s="94"/>
      <c r="BJ70" s="94"/>
      <c r="BK70" s="94"/>
      <c r="BL70" s="94"/>
      <c r="BM70" s="94"/>
      <c r="BN70" s="94"/>
      <c r="BO70" s="94"/>
      <c r="BP70" s="94"/>
      <c r="BQ70" s="94"/>
      <c r="BR70" s="94"/>
      <c r="BS70" s="94"/>
      <c r="BT70" s="94"/>
      <c r="BU70" s="94"/>
      <c r="BV70" s="94"/>
      <c r="BW70" s="94"/>
      <c r="BX70" s="94"/>
      <c r="BY70" s="94"/>
      <c r="BZ70" s="94"/>
      <c r="CA70" s="94"/>
      <c r="CB70" s="94"/>
      <c r="CC70" s="94"/>
      <c r="CD70" s="94"/>
      <c r="CE70" s="94"/>
      <c r="CF70" s="94"/>
    </row>
    <row r="71" spans="1:84" x14ac:dyDescent="0.25">
      <c r="A71" s="94"/>
      <c r="B71" s="94"/>
      <c r="C71" s="94"/>
      <c r="D71" s="94"/>
      <c r="E71" s="94"/>
      <c r="F71" s="94"/>
      <c r="G71" s="94"/>
      <c r="H71" s="147" t="str">
        <f>Master_Table[[#This Row],[LES-Type]]&amp;"-"&amp;Master_Table[[#This Row],[Nominal CCT+CRI]]&amp;Master_Table[[#This Row],[Tech]]</f>
        <v>-</v>
      </c>
      <c r="I71"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1" s="94"/>
      <c r="K71" s="94"/>
      <c r="L71" s="94"/>
      <c r="M71" s="102" t="e">
        <f>Master_Table[[#This Row],[Typical Lumens]]/(Master_Table[[#This Row],[Typical Voltage]]*Master_Table[[#This Row],[Typical Current]]/1000)</f>
        <v>#DIV/0!</v>
      </c>
      <c r="N71" s="94"/>
      <c r="O71" s="94"/>
      <c r="P71" s="94"/>
      <c r="Q71" s="94"/>
      <c r="R71" s="94"/>
      <c r="S71" s="94"/>
      <c r="T71" s="94"/>
      <c r="U71" s="94"/>
      <c r="V71" s="94"/>
      <c r="W71" s="94"/>
      <c r="X71" s="94"/>
      <c r="Y71" s="94"/>
      <c r="Z71" s="94"/>
      <c r="AA71" s="94"/>
      <c r="AB71" s="94"/>
      <c r="AC71" s="94"/>
      <c r="AD71" s="94"/>
      <c r="AE71" s="94"/>
      <c r="AF71" s="94"/>
      <c r="AG71" s="94"/>
      <c r="AH71" s="94"/>
      <c r="AI71" s="94"/>
      <c r="AJ71" s="94"/>
      <c r="AK71" s="102" t="e">
        <f>Master_Table[[#This Row],[Typical Lumens2]]/(Master_Table[[#This Row],[Typical Voltage2]]*Master_Table[[#This Row],[Typical Current]]/1000)</f>
        <v>#DIV/0!</v>
      </c>
      <c r="AL71" s="94"/>
      <c r="AM71" s="94"/>
      <c r="AN71" s="94"/>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c r="BM71" s="94"/>
      <c r="BN71" s="94"/>
      <c r="BO71" s="94"/>
      <c r="BP71" s="94"/>
      <c r="BQ71" s="94"/>
      <c r="BR71" s="94"/>
      <c r="BS71" s="94"/>
      <c r="BT71" s="94"/>
      <c r="BU71" s="94"/>
      <c r="BV71" s="94"/>
      <c r="BW71" s="94"/>
      <c r="BX71" s="94"/>
      <c r="BY71" s="94"/>
      <c r="BZ71" s="94"/>
      <c r="CA71" s="94"/>
      <c r="CB71" s="94"/>
      <c r="CC71" s="94"/>
      <c r="CD71" s="94"/>
      <c r="CE71" s="94"/>
      <c r="CF71" s="94"/>
    </row>
    <row r="72" spans="1:84" x14ac:dyDescent="0.25">
      <c r="A72" s="94"/>
      <c r="B72" s="94"/>
      <c r="C72" s="94"/>
      <c r="D72" s="94"/>
      <c r="E72" s="94"/>
      <c r="F72" s="94"/>
      <c r="G72" s="94"/>
      <c r="H72" s="147" t="str">
        <f>Master_Table[[#This Row],[LES-Type]]&amp;"-"&amp;Master_Table[[#This Row],[Nominal CCT+CRI]]&amp;Master_Table[[#This Row],[Tech]]</f>
        <v>-</v>
      </c>
      <c r="I72"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2" s="94"/>
      <c r="K72" s="94"/>
      <c r="L72" s="94"/>
      <c r="M72" s="102" t="e">
        <f>Master_Table[[#This Row],[Typical Lumens]]/(Master_Table[[#This Row],[Typical Voltage]]*Master_Table[[#This Row],[Typical Current]]/1000)</f>
        <v>#DIV/0!</v>
      </c>
      <c r="N72" s="94"/>
      <c r="O72" s="94"/>
      <c r="P72" s="94"/>
      <c r="Q72" s="94"/>
      <c r="R72" s="94"/>
      <c r="S72" s="94"/>
      <c r="T72" s="94"/>
      <c r="U72" s="94"/>
      <c r="V72" s="94"/>
      <c r="W72" s="94"/>
      <c r="X72" s="94"/>
      <c r="Y72" s="94"/>
      <c r="Z72" s="94"/>
      <c r="AA72" s="94"/>
      <c r="AB72" s="94"/>
      <c r="AC72" s="94"/>
      <c r="AD72" s="94"/>
      <c r="AE72" s="94"/>
      <c r="AF72" s="94"/>
      <c r="AG72" s="94"/>
      <c r="AH72" s="94"/>
      <c r="AI72" s="94"/>
      <c r="AJ72" s="94"/>
      <c r="AK72" s="102" t="e">
        <f>Master_Table[[#This Row],[Typical Lumens2]]/(Master_Table[[#This Row],[Typical Voltage2]]*Master_Table[[#This Row],[Typical Current]]/1000)</f>
        <v>#DIV/0!</v>
      </c>
      <c r="AL72" s="94"/>
      <c r="AM72" s="94"/>
      <c r="AN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4"/>
      <c r="BR72" s="94"/>
      <c r="BS72" s="94"/>
      <c r="BT72" s="94"/>
      <c r="BU72" s="94"/>
      <c r="BV72" s="94"/>
      <c r="BW72" s="94"/>
      <c r="BX72" s="94"/>
      <c r="BY72" s="94"/>
      <c r="BZ72" s="94"/>
      <c r="CA72" s="94"/>
      <c r="CB72" s="94"/>
      <c r="CC72" s="94"/>
      <c r="CD72" s="94"/>
      <c r="CE72" s="94"/>
      <c r="CF72" s="94"/>
    </row>
    <row r="73" spans="1:84" x14ac:dyDescent="0.25">
      <c r="A73" s="94"/>
      <c r="B73" s="94"/>
      <c r="C73" s="94"/>
      <c r="D73" s="94"/>
      <c r="E73" s="94"/>
      <c r="F73" s="94"/>
      <c r="G73" s="94"/>
      <c r="H73" s="147" t="str">
        <f>Master_Table[[#This Row],[LES-Type]]&amp;"-"&amp;Master_Table[[#This Row],[Nominal CCT+CRI]]&amp;Master_Table[[#This Row],[Tech]]</f>
        <v>-</v>
      </c>
      <c r="I73"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3" s="94"/>
      <c r="K73" s="94"/>
      <c r="L73" s="94"/>
      <c r="M73" s="102" t="e">
        <f>Master_Table[[#This Row],[Typical Lumens]]/(Master_Table[[#This Row],[Typical Voltage]]*Master_Table[[#This Row],[Typical Current]]/1000)</f>
        <v>#DIV/0!</v>
      </c>
      <c r="N73" s="94"/>
      <c r="O73" s="94"/>
      <c r="P73" s="94"/>
      <c r="Q73" s="94"/>
      <c r="R73" s="94"/>
      <c r="S73" s="94"/>
      <c r="T73" s="94"/>
      <c r="U73" s="94"/>
      <c r="V73" s="94"/>
      <c r="W73" s="94"/>
      <c r="X73" s="94"/>
      <c r="Y73" s="94"/>
      <c r="Z73" s="94"/>
      <c r="AA73" s="94"/>
      <c r="AB73" s="94"/>
      <c r="AC73" s="94"/>
      <c r="AD73" s="94"/>
      <c r="AE73" s="94"/>
      <c r="AF73" s="94"/>
      <c r="AG73" s="94"/>
      <c r="AH73" s="94"/>
      <c r="AI73" s="94"/>
      <c r="AJ73" s="94"/>
      <c r="AK73" s="102" t="e">
        <f>Master_Table[[#This Row],[Typical Lumens2]]/(Master_Table[[#This Row],[Typical Voltage2]]*Master_Table[[#This Row],[Typical Current]]/1000)</f>
        <v>#DIV/0!</v>
      </c>
      <c r="AL73" s="94"/>
      <c r="AM73" s="94"/>
      <c r="AN73" s="94"/>
      <c r="AO73" s="94"/>
      <c r="AP73" s="94"/>
      <c r="AQ73" s="94"/>
      <c r="AR73" s="94"/>
      <c r="AS73" s="94"/>
      <c r="AT73" s="94"/>
      <c r="AU73" s="94"/>
      <c r="AV73" s="94"/>
      <c r="AW73" s="94"/>
      <c r="AX73" s="94"/>
      <c r="AY73" s="94"/>
      <c r="AZ73" s="94"/>
      <c r="BA73" s="94"/>
      <c r="BB73" s="94"/>
      <c r="BC73" s="94"/>
      <c r="BD73" s="94"/>
      <c r="BE73" s="94"/>
      <c r="BF73" s="94"/>
      <c r="BG73" s="94"/>
      <c r="BH73" s="94"/>
      <c r="BI73" s="94"/>
      <c r="BJ73" s="94"/>
      <c r="BK73" s="94"/>
      <c r="BL73" s="94"/>
      <c r="BM73" s="94"/>
      <c r="BN73" s="94"/>
      <c r="BO73" s="94"/>
      <c r="BP73" s="94"/>
      <c r="BQ73" s="94"/>
      <c r="BR73" s="94"/>
      <c r="BS73" s="94"/>
      <c r="BT73" s="94"/>
      <c r="BU73" s="94"/>
      <c r="BV73" s="94"/>
      <c r="BW73" s="94"/>
      <c r="BX73" s="94"/>
      <c r="BY73" s="94"/>
      <c r="BZ73" s="94"/>
      <c r="CA73" s="94"/>
      <c r="CB73" s="94"/>
      <c r="CC73" s="94"/>
      <c r="CD73" s="94"/>
      <c r="CE73" s="94"/>
      <c r="CF73" s="94"/>
    </row>
    <row r="74" spans="1:84" x14ac:dyDescent="0.25">
      <c r="A74" s="94"/>
      <c r="B74" s="94"/>
      <c r="C74" s="94"/>
      <c r="D74" s="94"/>
      <c r="E74" s="94"/>
      <c r="F74" s="94"/>
      <c r="G74" s="94"/>
      <c r="H74" s="147" t="str">
        <f>Master_Table[[#This Row],[LES-Type]]&amp;"-"&amp;Master_Table[[#This Row],[Nominal CCT+CRI]]&amp;Master_Table[[#This Row],[Tech]]</f>
        <v>-</v>
      </c>
      <c r="I74"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4" s="94"/>
      <c r="K74" s="94"/>
      <c r="L74" s="94"/>
      <c r="M74" s="102" t="e">
        <f>Master_Table[[#This Row],[Typical Lumens]]/(Master_Table[[#This Row],[Typical Voltage]]*Master_Table[[#This Row],[Typical Current]]/1000)</f>
        <v>#DIV/0!</v>
      </c>
      <c r="N74" s="94"/>
      <c r="O74" s="94"/>
      <c r="P74" s="94"/>
      <c r="Q74" s="94"/>
      <c r="R74" s="94"/>
      <c r="S74" s="94"/>
      <c r="T74" s="94"/>
      <c r="U74" s="94"/>
      <c r="V74" s="94"/>
      <c r="W74" s="94"/>
      <c r="X74" s="94"/>
      <c r="Y74" s="94"/>
      <c r="Z74" s="94"/>
      <c r="AA74" s="94"/>
      <c r="AB74" s="94"/>
      <c r="AC74" s="94"/>
      <c r="AD74" s="94"/>
      <c r="AE74" s="94"/>
      <c r="AF74" s="94"/>
      <c r="AG74" s="94"/>
      <c r="AH74" s="94"/>
      <c r="AI74" s="94"/>
      <c r="AJ74" s="94"/>
      <c r="AK74" s="102" t="e">
        <f>Master_Table[[#This Row],[Typical Lumens2]]/(Master_Table[[#This Row],[Typical Voltage2]]*Master_Table[[#This Row],[Typical Current]]/1000)</f>
        <v>#DIV/0!</v>
      </c>
      <c r="AL74" s="94"/>
      <c r="AM74" s="94"/>
      <c r="AN74" s="94"/>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c r="BM74" s="94"/>
      <c r="BN74" s="94"/>
      <c r="BO74" s="94"/>
      <c r="BP74" s="94"/>
      <c r="BQ74" s="94"/>
      <c r="BR74" s="94"/>
      <c r="BS74" s="94"/>
      <c r="BT74" s="94"/>
      <c r="BU74" s="94"/>
      <c r="BV74" s="94"/>
      <c r="BW74" s="94"/>
      <c r="BX74" s="94"/>
      <c r="BY74" s="94"/>
      <c r="BZ74" s="94"/>
      <c r="CA74" s="94"/>
      <c r="CB74" s="94"/>
      <c r="CC74" s="94"/>
      <c r="CD74" s="94"/>
      <c r="CE74" s="94"/>
      <c r="CF74" s="94"/>
    </row>
    <row r="75" spans="1:84" x14ac:dyDescent="0.25">
      <c r="A75" s="94"/>
      <c r="B75" s="94"/>
      <c r="C75" s="94"/>
      <c r="D75" s="94"/>
      <c r="E75" s="94"/>
      <c r="F75" s="94"/>
      <c r="G75" s="94"/>
      <c r="H75" s="147" t="str">
        <f>Master_Table[[#This Row],[LES-Type]]&amp;"-"&amp;Master_Table[[#This Row],[Nominal CCT+CRI]]&amp;Master_Table[[#This Row],[Tech]]</f>
        <v>-</v>
      </c>
      <c r="I75"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5" s="94"/>
      <c r="K75" s="94"/>
      <c r="L75" s="94"/>
      <c r="M75" s="102" t="e">
        <f>Master_Table[[#This Row],[Typical Lumens]]/(Master_Table[[#This Row],[Typical Voltage]]*Master_Table[[#This Row],[Typical Current]]/1000)</f>
        <v>#DIV/0!</v>
      </c>
      <c r="N75" s="94"/>
      <c r="O75" s="94"/>
      <c r="P75" s="94"/>
      <c r="Q75" s="94"/>
      <c r="R75" s="94"/>
      <c r="S75" s="94"/>
      <c r="T75" s="94"/>
      <c r="U75" s="94"/>
      <c r="V75" s="94"/>
      <c r="W75" s="94"/>
      <c r="X75" s="94"/>
      <c r="Y75" s="94"/>
      <c r="Z75" s="94"/>
      <c r="AA75" s="94"/>
      <c r="AB75" s="94"/>
      <c r="AC75" s="94"/>
      <c r="AD75" s="94"/>
      <c r="AE75" s="94"/>
      <c r="AF75" s="94"/>
      <c r="AG75" s="94"/>
      <c r="AH75" s="94"/>
      <c r="AI75" s="94"/>
      <c r="AJ75" s="94"/>
      <c r="AK75" s="102" t="e">
        <f>Master_Table[[#This Row],[Typical Lumens2]]/(Master_Table[[#This Row],[Typical Voltage2]]*Master_Table[[#This Row],[Typical Current]]/1000)</f>
        <v>#DIV/0!</v>
      </c>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4"/>
      <c r="BK75" s="94"/>
      <c r="BL75" s="94"/>
      <c r="BM75" s="94"/>
      <c r="BN75" s="94"/>
      <c r="BO75" s="94"/>
      <c r="BP75" s="94"/>
      <c r="BQ75" s="94"/>
      <c r="BR75" s="94"/>
      <c r="BS75" s="94"/>
      <c r="BT75" s="94"/>
      <c r="BU75" s="94"/>
      <c r="BV75" s="94"/>
      <c r="BW75" s="94"/>
      <c r="BX75" s="94"/>
      <c r="BY75" s="94"/>
      <c r="BZ75" s="94"/>
      <c r="CA75" s="94"/>
      <c r="CB75" s="94"/>
      <c r="CC75" s="94"/>
      <c r="CD75" s="94"/>
      <c r="CE75" s="94"/>
      <c r="CF75" s="94"/>
    </row>
    <row r="76" spans="1:84" x14ac:dyDescent="0.25">
      <c r="A76" s="94"/>
      <c r="B76" s="94"/>
      <c r="C76" s="94"/>
      <c r="D76" s="94"/>
      <c r="E76" s="94"/>
      <c r="F76" s="94"/>
      <c r="G76" s="94"/>
      <c r="H76" s="147" t="str">
        <f>Master_Table[[#This Row],[LES-Type]]&amp;"-"&amp;Master_Table[[#This Row],[Nominal CCT+CRI]]&amp;Master_Table[[#This Row],[Tech]]</f>
        <v>-</v>
      </c>
      <c r="I76"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6" s="94"/>
      <c r="K76" s="94"/>
      <c r="L76" s="94"/>
      <c r="M76" s="102" t="e">
        <f>Master_Table[[#This Row],[Typical Lumens]]/(Master_Table[[#This Row],[Typical Voltage]]*Master_Table[[#This Row],[Typical Current]]/1000)</f>
        <v>#DIV/0!</v>
      </c>
      <c r="N76" s="94"/>
      <c r="O76" s="94"/>
      <c r="P76" s="94"/>
      <c r="Q76" s="94"/>
      <c r="R76" s="94"/>
      <c r="S76" s="94"/>
      <c r="T76" s="94"/>
      <c r="U76" s="94"/>
      <c r="V76" s="94"/>
      <c r="W76" s="94"/>
      <c r="X76" s="94"/>
      <c r="Y76" s="94"/>
      <c r="Z76" s="94"/>
      <c r="AA76" s="94"/>
      <c r="AB76" s="94"/>
      <c r="AC76" s="94"/>
      <c r="AD76" s="94"/>
      <c r="AE76" s="94"/>
      <c r="AF76" s="94"/>
      <c r="AG76" s="94"/>
      <c r="AH76" s="94"/>
      <c r="AI76" s="94"/>
      <c r="AJ76" s="94"/>
      <c r="AK76" s="102" t="e">
        <f>Master_Table[[#This Row],[Typical Lumens2]]/(Master_Table[[#This Row],[Typical Voltage2]]*Master_Table[[#This Row],[Typical Current]]/1000)</f>
        <v>#DIV/0!</v>
      </c>
      <c r="AL76" s="94"/>
      <c r="AM76" s="94"/>
      <c r="AN76" s="94"/>
      <c r="AO76" s="94"/>
      <c r="AP76" s="94"/>
      <c r="AQ76" s="94"/>
      <c r="AR76" s="94"/>
      <c r="AS76" s="94"/>
      <c r="AT76" s="94"/>
      <c r="AU76" s="94"/>
      <c r="AV76" s="94"/>
      <c r="AW76" s="94"/>
      <c r="AX76" s="94"/>
      <c r="AY76" s="94"/>
      <c r="AZ76" s="94"/>
      <c r="BA76" s="94"/>
      <c r="BB76" s="94"/>
      <c r="BC76" s="94"/>
      <c r="BD76" s="94"/>
      <c r="BE76" s="94"/>
      <c r="BF76" s="94"/>
      <c r="BG76" s="94"/>
      <c r="BH76" s="94"/>
      <c r="BI76" s="94"/>
      <c r="BJ76" s="94"/>
      <c r="BK76" s="94"/>
      <c r="BL76" s="94"/>
      <c r="BM76" s="94"/>
      <c r="BN76" s="94"/>
      <c r="BO76" s="94"/>
      <c r="BP76" s="94"/>
      <c r="BQ76" s="94"/>
      <c r="BR76" s="94"/>
      <c r="BS76" s="94"/>
      <c r="BT76" s="94"/>
      <c r="BU76" s="94"/>
      <c r="BV76" s="94"/>
      <c r="BW76" s="94"/>
      <c r="BX76" s="94"/>
      <c r="BY76" s="94"/>
      <c r="BZ76" s="94"/>
      <c r="CA76" s="94"/>
      <c r="CB76" s="94"/>
      <c r="CC76" s="94"/>
      <c r="CD76" s="94"/>
      <c r="CE76" s="94"/>
      <c r="CF76" s="94"/>
    </row>
    <row r="77" spans="1:84" x14ac:dyDescent="0.25">
      <c r="A77" s="94"/>
      <c r="B77" s="94"/>
      <c r="C77" s="94"/>
      <c r="D77" s="94"/>
      <c r="E77" s="94"/>
      <c r="F77" s="94"/>
      <c r="G77" s="94"/>
      <c r="H77" s="147" t="str">
        <f>Master_Table[[#This Row],[LES-Type]]&amp;"-"&amp;Master_Table[[#This Row],[Nominal CCT+CRI]]&amp;Master_Table[[#This Row],[Tech]]</f>
        <v>-</v>
      </c>
      <c r="I77"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7" s="94"/>
      <c r="K77" s="94"/>
      <c r="L77" s="94"/>
      <c r="M77" s="102" t="e">
        <f>Master_Table[[#This Row],[Typical Lumens]]/(Master_Table[[#This Row],[Typical Voltage]]*Master_Table[[#This Row],[Typical Current]]/1000)</f>
        <v>#DIV/0!</v>
      </c>
      <c r="N77" s="94"/>
      <c r="O77" s="94"/>
      <c r="P77" s="94"/>
      <c r="Q77" s="94"/>
      <c r="R77" s="94"/>
      <c r="S77" s="94"/>
      <c r="T77" s="94"/>
      <c r="U77" s="94"/>
      <c r="V77" s="94"/>
      <c r="W77" s="94"/>
      <c r="X77" s="94"/>
      <c r="Y77" s="94"/>
      <c r="Z77" s="94"/>
      <c r="AA77" s="94"/>
      <c r="AB77" s="94"/>
      <c r="AC77" s="94"/>
      <c r="AD77" s="94"/>
      <c r="AE77" s="94"/>
      <c r="AF77" s="94"/>
      <c r="AG77" s="94"/>
      <c r="AH77" s="94"/>
      <c r="AI77" s="94"/>
      <c r="AJ77" s="94"/>
      <c r="AK77" s="102" t="e">
        <f>Master_Table[[#This Row],[Typical Lumens2]]/(Master_Table[[#This Row],[Typical Voltage2]]*Master_Table[[#This Row],[Typical Current]]/1000)</f>
        <v>#DIV/0!</v>
      </c>
      <c r="AL77" s="94"/>
      <c r="AM77" s="94"/>
      <c r="AN77" s="94"/>
      <c r="AO77" s="94"/>
      <c r="AP77" s="94"/>
      <c r="AQ77" s="94"/>
      <c r="AR77" s="94"/>
      <c r="AS77" s="94"/>
      <c r="AT77" s="94"/>
      <c r="AU77" s="94"/>
      <c r="AV77" s="94"/>
      <c r="AW77" s="94"/>
      <c r="AX77" s="94"/>
      <c r="AY77" s="94"/>
      <c r="AZ77" s="94"/>
      <c r="BA77" s="94"/>
      <c r="BB77" s="94"/>
      <c r="BC77" s="94"/>
      <c r="BD77" s="94"/>
      <c r="BE77" s="94"/>
      <c r="BF77" s="94"/>
      <c r="BG77" s="94"/>
      <c r="BH77" s="94"/>
      <c r="BI77" s="94"/>
      <c r="BJ77" s="94"/>
      <c r="BK77" s="94"/>
      <c r="BL77" s="94"/>
      <c r="BM77" s="94"/>
      <c r="BN77" s="94"/>
      <c r="BO77" s="94"/>
      <c r="BP77" s="94"/>
      <c r="BQ77" s="94"/>
      <c r="BR77" s="94"/>
      <c r="BS77" s="94"/>
      <c r="BT77" s="94"/>
      <c r="BU77" s="94"/>
      <c r="BV77" s="94"/>
      <c r="BW77" s="94"/>
      <c r="BX77" s="94"/>
      <c r="BY77" s="94"/>
      <c r="BZ77" s="94"/>
      <c r="CA77" s="94"/>
      <c r="CB77" s="94"/>
      <c r="CC77" s="94"/>
      <c r="CD77" s="94"/>
      <c r="CE77" s="94"/>
      <c r="CF77" s="94"/>
    </row>
    <row r="78" spans="1:84" x14ac:dyDescent="0.25">
      <c r="A78" s="94"/>
      <c r="B78" s="94"/>
      <c r="C78" s="94"/>
      <c r="D78" s="94"/>
      <c r="E78" s="94"/>
      <c r="F78" s="94"/>
      <c r="G78" s="94"/>
      <c r="H78" s="147" t="str">
        <f>Master_Table[[#This Row],[LES-Type]]&amp;"-"&amp;Master_Table[[#This Row],[Nominal CCT+CRI]]&amp;Master_Table[[#This Row],[Tech]]</f>
        <v>-</v>
      </c>
      <c r="I78"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8" s="94"/>
      <c r="K78" s="94"/>
      <c r="L78" s="94"/>
      <c r="M78" s="102" t="e">
        <f>Master_Table[[#This Row],[Typical Lumens]]/(Master_Table[[#This Row],[Typical Voltage]]*Master_Table[[#This Row],[Typical Current]]/1000)</f>
        <v>#DIV/0!</v>
      </c>
      <c r="N78" s="94"/>
      <c r="O78" s="94"/>
      <c r="P78" s="94"/>
      <c r="Q78" s="94"/>
      <c r="R78" s="94"/>
      <c r="S78" s="94"/>
      <c r="T78" s="94"/>
      <c r="U78" s="94"/>
      <c r="V78" s="94"/>
      <c r="W78" s="94"/>
      <c r="X78" s="94"/>
      <c r="Y78" s="94"/>
      <c r="Z78" s="94"/>
      <c r="AA78" s="94"/>
      <c r="AB78" s="94"/>
      <c r="AC78" s="94"/>
      <c r="AD78" s="94"/>
      <c r="AE78" s="94"/>
      <c r="AF78" s="94"/>
      <c r="AG78" s="94"/>
      <c r="AH78" s="94"/>
      <c r="AI78" s="94"/>
      <c r="AJ78" s="94"/>
      <c r="AK78" s="102" t="e">
        <f>Master_Table[[#This Row],[Typical Lumens2]]/(Master_Table[[#This Row],[Typical Voltage2]]*Master_Table[[#This Row],[Typical Current]]/1000)</f>
        <v>#DIV/0!</v>
      </c>
      <c r="AL78" s="94"/>
      <c r="AM78" s="94"/>
      <c r="AN78" s="94"/>
      <c r="AO78" s="94"/>
      <c r="AP78" s="94"/>
      <c r="AQ78" s="94"/>
      <c r="AR78" s="94"/>
      <c r="AS78" s="94"/>
      <c r="AT78" s="94"/>
      <c r="AU78" s="94"/>
      <c r="AV78" s="94"/>
      <c r="AW78" s="94"/>
      <c r="AX78" s="94"/>
      <c r="AY78" s="94"/>
      <c r="AZ78" s="94"/>
      <c r="BA78" s="94"/>
      <c r="BB78" s="94"/>
      <c r="BC78" s="94"/>
      <c r="BD78" s="94"/>
      <c r="BE78" s="94"/>
      <c r="BF78" s="94"/>
      <c r="BG78" s="94"/>
      <c r="BH78" s="94"/>
      <c r="BI78" s="94"/>
      <c r="BJ78" s="94"/>
      <c r="BK78" s="94"/>
      <c r="BL78" s="94"/>
      <c r="BM78" s="94"/>
      <c r="BN78" s="94"/>
      <c r="BO78" s="94"/>
      <c r="BP78" s="94"/>
      <c r="BQ78" s="94"/>
      <c r="BR78" s="94"/>
      <c r="BS78" s="94"/>
      <c r="BT78" s="94"/>
      <c r="BU78" s="94"/>
      <c r="BV78" s="94"/>
      <c r="BW78" s="94"/>
      <c r="BX78" s="94"/>
      <c r="BY78" s="94"/>
      <c r="BZ78" s="94"/>
      <c r="CA78" s="94"/>
      <c r="CB78" s="94"/>
      <c r="CC78" s="94"/>
      <c r="CD78" s="94"/>
      <c r="CE78" s="94"/>
      <c r="CF78" s="94"/>
    </row>
    <row r="79" spans="1:84" x14ac:dyDescent="0.25">
      <c r="A79" s="94"/>
      <c r="B79" s="94"/>
      <c r="C79" s="94"/>
      <c r="D79" s="94"/>
      <c r="E79" s="94"/>
      <c r="F79" s="94"/>
      <c r="G79" s="94"/>
      <c r="H79" s="147" t="str">
        <f>Master_Table[[#This Row],[LES-Type]]&amp;"-"&amp;Master_Table[[#This Row],[Nominal CCT+CRI]]&amp;Master_Table[[#This Row],[Tech]]</f>
        <v>-</v>
      </c>
      <c r="I79"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79" s="94"/>
      <c r="K79" s="94"/>
      <c r="L79" s="94"/>
      <c r="M79" s="102" t="e">
        <f>Master_Table[[#This Row],[Typical Lumens]]/(Master_Table[[#This Row],[Typical Voltage]]*Master_Table[[#This Row],[Typical Current]]/1000)</f>
        <v>#DIV/0!</v>
      </c>
      <c r="N79" s="94"/>
      <c r="O79" s="94"/>
      <c r="P79" s="94"/>
      <c r="Q79" s="94"/>
      <c r="R79" s="94"/>
      <c r="S79" s="94"/>
      <c r="T79" s="94"/>
      <c r="U79" s="94"/>
      <c r="V79" s="94"/>
      <c r="W79" s="94"/>
      <c r="X79" s="94"/>
      <c r="Y79" s="94"/>
      <c r="Z79" s="94"/>
      <c r="AA79" s="94"/>
      <c r="AB79" s="94"/>
      <c r="AC79" s="94"/>
      <c r="AD79" s="94"/>
      <c r="AE79" s="94"/>
      <c r="AF79" s="94"/>
      <c r="AG79" s="94"/>
      <c r="AH79" s="94"/>
      <c r="AI79" s="94"/>
      <c r="AJ79" s="94"/>
      <c r="AK79" s="102" t="e">
        <f>Master_Table[[#This Row],[Typical Lumens2]]/(Master_Table[[#This Row],[Typical Voltage2]]*Master_Table[[#This Row],[Typical Current]]/1000)</f>
        <v>#DIV/0!</v>
      </c>
      <c r="AL79" s="94"/>
      <c r="AM79" s="94"/>
      <c r="AN79" s="94"/>
      <c r="AO79" s="94"/>
      <c r="AP79" s="94"/>
      <c r="AQ79" s="94"/>
      <c r="AR79" s="94"/>
      <c r="AS79" s="94"/>
      <c r="AT79" s="94"/>
      <c r="AU79" s="94"/>
      <c r="AV79" s="94"/>
      <c r="AW79" s="94"/>
      <c r="AX79" s="94"/>
      <c r="AY79" s="94"/>
      <c r="AZ79" s="94"/>
      <c r="BA79" s="94"/>
      <c r="BB79" s="94"/>
      <c r="BC79" s="94"/>
      <c r="BD79" s="94"/>
      <c r="BE79" s="94"/>
      <c r="BF79" s="94"/>
      <c r="BG79" s="94"/>
      <c r="BH79" s="94"/>
      <c r="BI79" s="94"/>
      <c r="BJ79" s="94"/>
      <c r="BK79" s="94"/>
      <c r="BL79" s="94"/>
      <c r="BM79" s="94"/>
      <c r="BN79" s="94"/>
      <c r="BO79" s="94"/>
      <c r="BP79" s="94"/>
      <c r="BQ79" s="94"/>
      <c r="BR79" s="94"/>
      <c r="BS79" s="94"/>
      <c r="BT79" s="94"/>
      <c r="BU79" s="94"/>
      <c r="BV79" s="94"/>
      <c r="BW79" s="94"/>
      <c r="BX79" s="94"/>
      <c r="BY79" s="94"/>
      <c r="BZ79" s="94"/>
      <c r="CA79" s="94"/>
      <c r="CB79" s="94"/>
      <c r="CC79" s="94"/>
      <c r="CD79" s="94"/>
      <c r="CE79" s="94"/>
      <c r="CF79" s="94"/>
    </row>
    <row r="80" spans="1:84" x14ac:dyDescent="0.25">
      <c r="A80" s="94"/>
      <c r="B80" s="94"/>
      <c r="C80" s="94"/>
      <c r="D80" s="94"/>
      <c r="E80" s="94"/>
      <c r="F80" s="94"/>
      <c r="G80" s="94"/>
      <c r="H80" s="147" t="str">
        <f>Master_Table[[#This Row],[LES-Type]]&amp;"-"&amp;Master_Table[[#This Row],[Nominal CCT+CRI]]&amp;Master_Table[[#This Row],[Tech]]</f>
        <v>-</v>
      </c>
      <c r="I80"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0" s="94"/>
      <c r="K80" s="94"/>
      <c r="L80" s="94"/>
      <c r="M80" s="102" t="e">
        <f>Master_Table[[#This Row],[Typical Lumens]]/(Master_Table[[#This Row],[Typical Voltage]]*Master_Table[[#This Row],[Typical Current]]/1000)</f>
        <v>#DIV/0!</v>
      </c>
      <c r="N80" s="94"/>
      <c r="O80" s="94"/>
      <c r="P80" s="94"/>
      <c r="Q80" s="94"/>
      <c r="R80" s="94"/>
      <c r="S80" s="94"/>
      <c r="T80" s="94"/>
      <c r="U80" s="94"/>
      <c r="V80" s="94"/>
      <c r="W80" s="94"/>
      <c r="X80" s="94"/>
      <c r="Y80" s="94"/>
      <c r="Z80" s="94"/>
      <c r="AA80" s="94"/>
      <c r="AB80" s="94"/>
      <c r="AC80" s="94"/>
      <c r="AD80" s="94"/>
      <c r="AE80" s="94"/>
      <c r="AF80" s="94"/>
      <c r="AG80" s="94"/>
      <c r="AH80" s="94"/>
      <c r="AI80" s="94"/>
      <c r="AJ80" s="94"/>
      <c r="AK80" s="102" t="e">
        <f>Master_Table[[#This Row],[Typical Lumens2]]/(Master_Table[[#This Row],[Typical Voltage2]]*Master_Table[[#This Row],[Typical Current]]/1000)</f>
        <v>#DIV/0!</v>
      </c>
      <c r="AL80" s="94"/>
      <c r="AM80" s="94"/>
      <c r="AN80" s="94"/>
      <c r="AO80" s="94"/>
      <c r="AP80" s="94"/>
      <c r="AQ80" s="94"/>
      <c r="AR80" s="94"/>
      <c r="AS80" s="94"/>
      <c r="AT80" s="94"/>
      <c r="AU80" s="94"/>
      <c r="AV80" s="94"/>
      <c r="AW80" s="94"/>
      <c r="AX80" s="94"/>
      <c r="AY80" s="94"/>
      <c r="AZ80" s="94"/>
      <c r="BA80" s="94"/>
      <c r="BB80" s="94"/>
      <c r="BC80" s="94"/>
      <c r="BD80" s="94"/>
      <c r="BE80" s="94"/>
      <c r="BF80" s="94"/>
      <c r="BG80" s="94"/>
      <c r="BH80" s="94"/>
      <c r="BI80" s="94"/>
      <c r="BJ80" s="94"/>
      <c r="BK80" s="94"/>
      <c r="BL80" s="94"/>
      <c r="BM80" s="94"/>
      <c r="BN80" s="94"/>
      <c r="BO80" s="94"/>
      <c r="BP80" s="94"/>
      <c r="BQ80" s="94"/>
      <c r="BR80" s="94"/>
      <c r="BS80" s="94"/>
      <c r="BT80" s="94"/>
      <c r="BU80" s="94"/>
      <c r="BV80" s="94"/>
      <c r="BW80" s="94"/>
      <c r="BX80" s="94"/>
      <c r="BY80" s="94"/>
      <c r="BZ80" s="94"/>
      <c r="CA80" s="94"/>
      <c r="CB80" s="94"/>
      <c r="CC80" s="94"/>
      <c r="CD80" s="94"/>
      <c r="CE80" s="94"/>
      <c r="CF80" s="94"/>
    </row>
    <row r="81" spans="1:84" x14ac:dyDescent="0.25">
      <c r="A81" s="94"/>
      <c r="B81" s="94"/>
      <c r="C81" s="94"/>
      <c r="D81" s="94"/>
      <c r="E81" s="94"/>
      <c r="F81" s="94"/>
      <c r="G81" s="94"/>
      <c r="H81" s="147" t="str">
        <f>Master_Table[[#This Row],[LES-Type]]&amp;"-"&amp;Master_Table[[#This Row],[Nominal CCT+CRI]]&amp;Master_Table[[#This Row],[Tech]]</f>
        <v>-</v>
      </c>
      <c r="I81"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1" s="94"/>
      <c r="K81" s="94"/>
      <c r="L81" s="94"/>
      <c r="M81" s="102" t="e">
        <f>Master_Table[[#This Row],[Typical Lumens]]/(Master_Table[[#This Row],[Typical Voltage]]*Master_Table[[#This Row],[Typical Current]]/1000)</f>
        <v>#DIV/0!</v>
      </c>
      <c r="N81" s="94"/>
      <c r="O81" s="94"/>
      <c r="P81" s="94"/>
      <c r="Q81" s="94"/>
      <c r="R81" s="94"/>
      <c r="S81" s="94"/>
      <c r="T81" s="94"/>
      <c r="U81" s="94"/>
      <c r="V81" s="94"/>
      <c r="W81" s="94"/>
      <c r="X81" s="94"/>
      <c r="Y81" s="94"/>
      <c r="Z81" s="94"/>
      <c r="AA81" s="94"/>
      <c r="AB81" s="94"/>
      <c r="AC81" s="94"/>
      <c r="AD81" s="94"/>
      <c r="AE81" s="94"/>
      <c r="AF81" s="94"/>
      <c r="AG81" s="94"/>
      <c r="AH81" s="94"/>
      <c r="AI81" s="94"/>
      <c r="AJ81" s="94"/>
      <c r="AK81" s="102" t="e">
        <f>Master_Table[[#This Row],[Typical Lumens2]]/(Master_Table[[#This Row],[Typical Voltage2]]*Master_Table[[#This Row],[Typical Current]]/1000)</f>
        <v>#DIV/0!</v>
      </c>
      <c r="AL81" s="94"/>
      <c r="AM81" s="94"/>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4"/>
      <c r="BR81" s="94"/>
      <c r="BS81" s="94"/>
      <c r="BT81" s="94"/>
      <c r="BU81" s="94"/>
      <c r="BV81" s="94"/>
      <c r="BW81" s="94"/>
      <c r="BX81" s="94"/>
      <c r="BY81" s="94"/>
      <c r="BZ81" s="94"/>
      <c r="CA81" s="94"/>
      <c r="CB81" s="94"/>
      <c r="CC81" s="94"/>
      <c r="CD81" s="94"/>
      <c r="CE81" s="94"/>
      <c r="CF81" s="94"/>
    </row>
    <row r="82" spans="1:84" x14ac:dyDescent="0.25">
      <c r="A82" s="94"/>
      <c r="B82" s="94"/>
      <c r="C82" s="94"/>
      <c r="D82" s="94"/>
      <c r="E82" s="94"/>
      <c r="F82" s="94"/>
      <c r="G82" s="94"/>
      <c r="H82" s="147" t="str">
        <f>Master_Table[[#This Row],[LES-Type]]&amp;"-"&amp;Master_Table[[#This Row],[Nominal CCT+CRI]]&amp;Master_Table[[#This Row],[Tech]]</f>
        <v>-</v>
      </c>
      <c r="I82"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2" s="94"/>
      <c r="K82" s="94"/>
      <c r="L82" s="94"/>
      <c r="M82" s="102" t="e">
        <f>Master_Table[[#This Row],[Typical Lumens]]/(Master_Table[[#This Row],[Typical Voltage]]*Master_Table[[#This Row],[Typical Current]]/1000)</f>
        <v>#DIV/0!</v>
      </c>
      <c r="N82" s="94"/>
      <c r="O82" s="94"/>
      <c r="P82" s="94"/>
      <c r="Q82" s="94"/>
      <c r="R82" s="94"/>
      <c r="S82" s="94"/>
      <c r="T82" s="94"/>
      <c r="U82" s="94"/>
      <c r="V82" s="94"/>
      <c r="W82" s="94"/>
      <c r="X82" s="94"/>
      <c r="Y82" s="94"/>
      <c r="Z82" s="94"/>
      <c r="AA82" s="94"/>
      <c r="AB82" s="94"/>
      <c r="AC82" s="94"/>
      <c r="AD82" s="94"/>
      <c r="AE82" s="94"/>
      <c r="AF82" s="94"/>
      <c r="AG82" s="94"/>
      <c r="AH82" s="94"/>
      <c r="AI82" s="94"/>
      <c r="AJ82" s="94"/>
      <c r="AK82" s="102" t="e">
        <f>Master_Table[[#This Row],[Typical Lumens2]]/(Master_Table[[#This Row],[Typical Voltage2]]*Master_Table[[#This Row],[Typical Current]]/1000)</f>
        <v>#DIV/0!</v>
      </c>
      <c r="AL82" s="94"/>
      <c r="AM82" s="94"/>
      <c r="AN82" s="94"/>
      <c r="AO82" s="94"/>
      <c r="AP82" s="94"/>
      <c r="AQ82" s="94"/>
      <c r="AR82" s="94"/>
      <c r="AS82" s="94"/>
      <c r="AT82" s="94"/>
      <c r="AU82" s="94"/>
      <c r="AV82" s="94"/>
      <c r="AW82" s="94"/>
      <c r="AX82" s="94"/>
      <c r="AY82" s="94"/>
      <c r="AZ82" s="94"/>
      <c r="BA82" s="94"/>
      <c r="BB82" s="94"/>
      <c r="BC82" s="94"/>
      <c r="BD82" s="94"/>
      <c r="BE82" s="94"/>
      <c r="BF82" s="94"/>
      <c r="BG82" s="94"/>
      <c r="BH82" s="94"/>
      <c r="BI82" s="94"/>
      <c r="BJ82" s="94"/>
      <c r="BK82" s="94"/>
      <c r="BL82" s="94"/>
      <c r="BM82" s="94"/>
      <c r="BN82" s="94"/>
      <c r="BO82" s="94"/>
      <c r="BP82" s="94"/>
      <c r="BQ82" s="94"/>
      <c r="BR82" s="94"/>
      <c r="BS82" s="94"/>
      <c r="BT82" s="94"/>
      <c r="BU82" s="94"/>
      <c r="BV82" s="94"/>
      <c r="BW82" s="94"/>
      <c r="BX82" s="94"/>
      <c r="BY82" s="94"/>
      <c r="BZ82" s="94"/>
      <c r="CA82" s="94"/>
      <c r="CB82" s="94"/>
      <c r="CC82" s="94"/>
      <c r="CD82" s="94"/>
      <c r="CE82" s="94"/>
      <c r="CF82" s="94"/>
    </row>
    <row r="83" spans="1:84" x14ac:dyDescent="0.25">
      <c r="A83" s="94"/>
      <c r="B83" s="94"/>
      <c r="C83" s="94"/>
      <c r="D83" s="94"/>
      <c r="E83" s="94"/>
      <c r="F83" s="94"/>
      <c r="G83" s="94"/>
      <c r="H83" s="147" t="str">
        <f>Master_Table[[#This Row],[LES-Type]]&amp;"-"&amp;Master_Table[[#This Row],[Nominal CCT+CRI]]&amp;Master_Table[[#This Row],[Tech]]</f>
        <v>-</v>
      </c>
      <c r="I83"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3" s="94"/>
      <c r="K83" s="94"/>
      <c r="L83" s="94"/>
      <c r="M83" s="102" t="e">
        <f>Master_Table[[#This Row],[Typical Lumens]]/(Master_Table[[#This Row],[Typical Voltage]]*Master_Table[[#This Row],[Typical Current]]/1000)</f>
        <v>#DIV/0!</v>
      </c>
      <c r="N83" s="94"/>
      <c r="O83" s="94"/>
      <c r="P83" s="94"/>
      <c r="Q83" s="94"/>
      <c r="R83" s="94"/>
      <c r="S83" s="94"/>
      <c r="T83" s="94"/>
      <c r="U83" s="94"/>
      <c r="V83" s="94"/>
      <c r="W83" s="94"/>
      <c r="X83" s="94"/>
      <c r="Y83" s="94"/>
      <c r="Z83" s="94"/>
      <c r="AA83" s="94"/>
      <c r="AB83" s="94"/>
      <c r="AC83" s="94"/>
      <c r="AD83" s="94"/>
      <c r="AE83" s="94"/>
      <c r="AF83" s="94"/>
      <c r="AG83" s="94"/>
      <c r="AH83" s="94"/>
      <c r="AI83" s="94"/>
      <c r="AJ83" s="94"/>
      <c r="AK83" s="102" t="e">
        <f>Master_Table[[#This Row],[Typical Lumens2]]/(Master_Table[[#This Row],[Typical Voltage2]]*Master_Table[[#This Row],[Typical Current]]/1000)</f>
        <v>#DIV/0!</v>
      </c>
      <c r="AL83" s="94"/>
      <c r="AM83" s="94"/>
      <c r="AN83" s="94"/>
      <c r="AO83" s="94"/>
      <c r="AP83" s="94"/>
      <c r="AQ83" s="94"/>
      <c r="AR83" s="94"/>
      <c r="AS83" s="94"/>
      <c r="AT83" s="94"/>
      <c r="AU83" s="94"/>
      <c r="AV83" s="94"/>
      <c r="AW83" s="94"/>
      <c r="AX83" s="94"/>
      <c r="AY83" s="94"/>
      <c r="AZ83" s="94"/>
      <c r="BA83" s="94"/>
      <c r="BB83" s="94"/>
      <c r="BC83" s="94"/>
      <c r="BD83" s="94"/>
      <c r="BE83" s="94"/>
      <c r="BF83" s="94"/>
      <c r="BG83" s="94"/>
      <c r="BH83" s="94"/>
      <c r="BI83" s="94"/>
      <c r="BJ83" s="94"/>
      <c r="BK83" s="94"/>
      <c r="BL83" s="94"/>
      <c r="BM83" s="94"/>
      <c r="BN83" s="94"/>
      <c r="BO83" s="94"/>
      <c r="BP83" s="94"/>
      <c r="BQ83" s="94"/>
      <c r="BR83" s="94"/>
      <c r="BS83" s="94"/>
      <c r="BT83" s="94"/>
      <c r="BU83" s="94"/>
      <c r="BV83" s="94"/>
      <c r="BW83" s="94"/>
      <c r="BX83" s="94"/>
      <c r="BY83" s="94"/>
      <c r="BZ83" s="94"/>
      <c r="CA83" s="94"/>
      <c r="CB83" s="94"/>
      <c r="CC83" s="94"/>
      <c r="CD83" s="94"/>
      <c r="CE83" s="94"/>
      <c r="CF83" s="94"/>
    </row>
    <row r="84" spans="1:84" x14ac:dyDescent="0.25">
      <c r="A84" s="94"/>
      <c r="B84" s="94"/>
      <c r="C84" s="94"/>
      <c r="D84" s="94"/>
      <c r="E84" s="94"/>
      <c r="F84" s="94"/>
      <c r="G84" s="94"/>
      <c r="H84" s="147" t="str">
        <f>Master_Table[[#This Row],[LES-Type]]&amp;"-"&amp;Master_Table[[#This Row],[Nominal CCT+CRI]]&amp;Master_Table[[#This Row],[Tech]]</f>
        <v>-</v>
      </c>
      <c r="I84"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4" s="94"/>
      <c r="K84" s="94"/>
      <c r="L84" s="94"/>
      <c r="M84" s="102" t="e">
        <f>Master_Table[[#This Row],[Typical Lumens]]/(Master_Table[[#This Row],[Typical Voltage]]*Master_Table[[#This Row],[Typical Current]]/1000)</f>
        <v>#DIV/0!</v>
      </c>
      <c r="N84" s="94"/>
      <c r="O84" s="94"/>
      <c r="P84" s="94"/>
      <c r="Q84" s="94"/>
      <c r="R84" s="94"/>
      <c r="S84" s="94"/>
      <c r="T84" s="94"/>
      <c r="U84" s="94"/>
      <c r="V84" s="94"/>
      <c r="W84" s="94"/>
      <c r="X84" s="94"/>
      <c r="Y84" s="94"/>
      <c r="Z84" s="94"/>
      <c r="AA84" s="94"/>
      <c r="AB84" s="94"/>
      <c r="AC84" s="94"/>
      <c r="AD84" s="94"/>
      <c r="AE84" s="94"/>
      <c r="AF84" s="94"/>
      <c r="AG84" s="94"/>
      <c r="AH84" s="94"/>
      <c r="AI84" s="94"/>
      <c r="AJ84" s="94"/>
      <c r="AK84" s="102" t="e">
        <f>Master_Table[[#This Row],[Typical Lumens2]]/(Master_Table[[#This Row],[Typical Voltage2]]*Master_Table[[#This Row],[Typical Current]]/1000)</f>
        <v>#DIV/0!</v>
      </c>
      <c r="AL84" s="94"/>
      <c r="AM84" s="94"/>
      <c r="AN84" s="94"/>
      <c r="AO84" s="94"/>
      <c r="AP84" s="94"/>
      <c r="AQ84" s="94"/>
      <c r="AR84" s="94"/>
      <c r="AS84" s="94"/>
      <c r="AT84" s="94"/>
      <c r="AU84" s="94"/>
      <c r="AV84" s="94"/>
      <c r="AW84" s="94"/>
      <c r="AX84" s="94"/>
      <c r="AY84" s="94"/>
      <c r="AZ84" s="94"/>
      <c r="BA84" s="94"/>
      <c r="BB84" s="94"/>
      <c r="BC84" s="94"/>
      <c r="BD84" s="94"/>
      <c r="BE84" s="94"/>
      <c r="BF84" s="94"/>
      <c r="BG84" s="94"/>
      <c r="BH84" s="94"/>
      <c r="BI84" s="94"/>
      <c r="BJ84" s="94"/>
      <c r="BK84" s="94"/>
      <c r="BL84" s="94"/>
      <c r="BM84" s="94"/>
      <c r="BN84" s="94"/>
      <c r="BO84" s="94"/>
      <c r="BP84" s="94"/>
      <c r="BQ84" s="94"/>
      <c r="BR84" s="94"/>
      <c r="BS84" s="94"/>
      <c r="BT84" s="94"/>
      <c r="BU84" s="94"/>
      <c r="BV84" s="94"/>
      <c r="BW84" s="94"/>
      <c r="BX84" s="94"/>
      <c r="BY84" s="94"/>
      <c r="BZ84" s="94"/>
      <c r="CA84" s="94"/>
      <c r="CB84" s="94"/>
      <c r="CC84" s="94"/>
      <c r="CD84" s="94"/>
      <c r="CE84" s="94"/>
      <c r="CF84" s="94"/>
    </row>
    <row r="85" spans="1:84" x14ac:dyDescent="0.25">
      <c r="A85" s="94"/>
      <c r="B85" s="94"/>
      <c r="C85" s="94"/>
      <c r="D85" s="94"/>
      <c r="E85" s="94"/>
      <c r="F85" s="94"/>
      <c r="G85" s="94"/>
      <c r="H85" s="147" t="str">
        <f>Master_Table[[#This Row],[LES-Type]]&amp;"-"&amp;Master_Table[[#This Row],[Nominal CCT+CRI]]&amp;Master_Table[[#This Row],[Tech]]</f>
        <v>-</v>
      </c>
      <c r="I85"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5" s="94"/>
      <c r="K85" s="94"/>
      <c r="L85" s="94"/>
      <c r="M85" s="102" t="e">
        <f>Master_Table[[#This Row],[Typical Lumens]]/(Master_Table[[#This Row],[Typical Voltage]]*Master_Table[[#This Row],[Typical Current]]/1000)</f>
        <v>#DIV/0!</v>
      </c>
      <c r="N85" s="94"/>
      <c r="O85" s="94"/>
      <c r="P85" s="94"/>
      <c r="Q85" s="94"/>
      <c r="R85" s="94"/>
      <c r="S85" s="94"/>
      <c r="T85" s="94"/>
      <c r="U85" s="94"/>
      <c r="V85" s="94"/>
      <c r="W85" s="94"/>
      <c r="X85" s="94"/>
      <c r="Y85" s="94"/>
      <c r="Z85" s="94"/>
      <c r="AA85" s="94"/>
      <c r="AB85" s="94"/>
      <c r="AC85" s="94"/>
      <c r="AD85" s="94"/>
      <c r="AE85" s="94"/>
      <c r="AF85" s="94"/>
      <c r="AG85" s="94"/>
      <c r="AH85" s="94"/>
      <c r="AI85" s="94"/>
      <c r="AJ85" s="94"/>
      <c r="AK85" s="102" t="e">
        <f>Master_Table[[#This Row],[Typical Lumens2]]/(Master_Table[[#This Row],[Typical Voltage2]]*Master_Table[[#This Row],[Typical Current]]/1000)</f>
        <v>#DIV/0!</v>
      </c>
      <c r="AL85" s="94"/>
      <c r="AM85" s="94"/>
      <c r="AN85" s="94"/>
      <c r="AO85" s="94"/>
      <c r="AP85" s="94"/>
      <c r="AQ85" s="94"/>
      <c r="AR85" s="94"/>
      <c r="AS85" s="94"/>
      <c r="AT85" s="94"/>
      <c r="AU85" s="94"/>
      <c r="AV85" s="94"/>
      <c r="AW85" s="94"/>
      <c r="AX85" s="94"/>
      <c r="AY85" s="94"/>
      <c r="AZ85" s="94"/>
      <c r="BA85" s="94"/>
      <c r="BB85" s="94"/>
      <c r="BC85" s="94"/>
      <c r="BD85" s="94"/>
      <c r="BE85" s="94"/>
      <c r="BF85" s="94"/>
      <c r="BG85" s="94"/>
      <c r="BH85" s="94"/>
      <c r="BI85" s="94"/>
      <c r="BJ85" s="94"/>
      <c r="BK85" s="94"/>
      <c r="BL85" s="94"/>
      <c r="BM85" s="94"/>
      <c r="BN85" s="94"/>
      <c r="BO85" s="94"/>
      <c r="BP85" s="94"/>
      <c r="BQ85" s="94"/>
      <c r="BR85" s="94"/>
      <c r="BS85" s="94"/>
      <c r="BT85" s="94"/>
      <c r="BU85" s="94"/>
      <c r="BV85" s="94"/>
      <c r="BW85" s="94"/>
      <c r="BX85" s="94"/>
      <c r="BY85" s="94"/>
      <c r="BZ85" s="94"/>
      <c r="CA85" s="94"/>
      <c r="CB85" s="94"/>
      <c r="CC85" s="94"/>
      <c r="CD85" s="94"/>
      <c r="CE85" s="94"/>
      <c r="CF85" s="94"/>
    </row>
    <row r="86" spans="1:84" x14ac:dyDescent="0.25">
      <c r="A86" s="94"/>
      <c r="B86" s="94"/>
      <c r="C86" s="94"/>
      <c r="D86" s="94"/>
      <c r="E86" s="94"/>
      <c r="F86" s="94"/>
      <c r="G86" s="94"/>
      <c r="H86" s="147" t="str">
        <f>Master_Table[[#This Row],[LES-Type]]&amp;"-"&amp;Master_Table[[#This Row],[Nominal CCT+CRI]]&amp;Master_Table[[#This Row],[Tech]]</f>
        <v>-</v>
      </c>
      <c r="I86"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6" s="94"/>
      <c r="K86" s="94"/>
      <c r="L86" s="94"/>
      <c r="M86" s="102" t="e">
        <f>Master_Table[[#This Row],[Typical Lumens]]/(Master_Table[[#This Row],[Typical Voltage]]*Master_Table[[#This Row],[Typical Current]]/1000)</f>
        <v>#DIV/0!</v>
      </c>
      <c r="N86" s="94"/>
      <c r="O86" s="94"/>
      <c r="P86" s="94"/>
      <c r="Q86" s="94"/>
      <c r="R86" s="94"/>
      <c r="S86" s="94"/>
      <c r="T86" s="94"/>
      <c r="U86" s="94"/>
      <c r="V86" s="94"/>
      <c r="W86" s="94"/>
      <c r="X86" s="94"/>
      <c r="Y86" s="94"/>
      <c r="Z86" s="94"/>
      <c r="AA86" s="94"/>
      <c r="AB86" s="94"/>
      <c r="AC86" s="94"/>
      <c r="AD86" s="94"/>
      <c r="AE86" s="94"/>
      <c r="AF86" s="94"/>
      <c r="AG86" s="94"/>
      <c r="AH86" s="94"/>
      <c r="AI86" s="94"/>
      <c r="AJ86" s="94"/>
      <c r="AK86" s="102" t="e">
        <f>Master_Table[[#This Row],[Typical Lumens2]]/(Master_Table[[#This Row],[Typical Voltage2]]*Master_Table[[#This Row],[Typical Current]]/1000)</f>
        <v>#DIV/0!</v>
      </c>
      <c r="AL86" s="94"/>
      <c r="AM86" s="94"/>
      <c r="AN86" s="94"/>
      <c r="AO86" s="94"/>
      <c r="AP86" s="94"/>
      <c r="AQ86" s="94"/>
      <c r="AR86" s="94"/>
      <c r="AS86" s="94"/>
      <c r="AT86" s="94"/>
      <c r="AU86" s="94"/>
      <c r="AV86" s="94"/>
      <c r="AW86" s="94"/>
      <c r="AX86" s="94"/>
      <c r="AY86" s="94"/>
      <c r="AZ86" s="94"/>
      <c r="BA86" s="94"/>
      <c r="BB86" s="94"/>
      <c r="BC86" s="94"/>
      <c r="BD86" s="94"/>
      <c r="BE86" s="94"/>
      <c r="BF86" s="94"/>
      <c r="BG86" s="94"/>
      <c r="BH86" s="94"/>
      <c r="BI86" s="94"/>
      <c r="BJ86" s="94"/>
      <c r="BK86" s="94"/>
      <c r="BL86" s="94"/>
      <c r="BM86" s="94"/>
      <c r="BN86" s="94"/>
      <c r="BO86" s="94"/>
      <c r="BP86" s="94"/>
      <c r="BQ86" s="94"/>
      <c r="BR86" s="94"/>
      <c r="BS86" s="94"/>
      <c r="BT86" s="94"/>
      <c r="BU86" s="94"/>
      <c r="BV86" s="94"/>
      <c r="BW86" s="94"/>
      <c r="BX86" s="94"/>
      <c r="BY86" s="94"/>
      <c r="BZ86" s="94"/>
      <c r="CA86" s="94"/>
      <c r="CB86" s="94"/>
      <c r="CC86" s="94"/>
      <c r="CD86" s="94"/>
      <c r="CE86" s="94"/>
      <c r="CF86" s="94"/>
    </row>
    <row r="87" spans="1:84" x14ac:dyDescent="0.25">
      <c r="A87" s="94"/>
      <c r="B87" s="94"/>
      <c r="C87" s="94"/>
      <c r="D87" s="94"/>
      <c r="E87" s="94"/>
      <c r="F87" s="94"/>
      <c r="G87" s="94"/>
      <c r="H87" s="147" t="str">
        <f>Master_Table[[#This Row],[LES-Type]]&amp;"-"&amp;Master_Table[[#This Row],[Nominal CCT+CRI]]&amp;Master_Table[[#This Row],[Tech]]</f>
        <v>-</v>
      </c>
      <c r="I87"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7" s="94"/>
      <c r="K87" s="94"/>
      <c r="L87" s="94"/>
      <c r="M87" s="102" t="e">
        <f>Master_Table[[#This Row],[Typical Lumens]]/(Master_Table[[#This Row],[Typical Voltage]]*Master_Table[[#This Row],[Typical Current]]/1000)</f>
        <v>#DIV/0!</v>
      </c>
      <c r="N87" s="94"/>
      <c r="O87" s="94"/>
      <c r="P87" s="94"/>
      <c r="Q87" s="94"/>
      <c r="R87" s="94"/>
      <c r="S87" s="94"/>
      <c r="T87" s="94"/>
      <c r="U87" s="94"/>
      <c r="V87" s="94"/>
      <c r="W87" s="94"/>
      <c r="X87" s="94"/>
      <c r="Y87" s="94"/>
      <c r="Z87" s="94"/>
      <c r="AA87" s="94"/>
      <c r="AB87" s="94"/>
      <c r="AC87" s="94"/>
      <c r="AD87" s="94"/>
      <c r="AE87" s="94"/>
      <c r="AF87" s="94"/>
      <c r="AG87" s="94"/>
      <c r="AH87" s="94"/>
      <c r="AI87" s="94"/>
      <c r="AJ87" s="94"/>
      <c r="AK87" s="102" t="e">
        <f>Master_Table[[#This Row],[Typical Lumens2]]/(Master_Table[[#This Row],[Typical Voltage2]]*Master_Table[[#This Row],[Typical Current]]/1000)</f>
        <v>#DIV/0!</v>
      </c>
      <c r="AL87" s="94"/>
      <c r="AM87" s="94"/>
      <c r="AN87" s="94"/>
      <c r="AO87" s="94"/>
      <c r="AP87" s="94"/>
      <c r="AQ87" s="94"/>
      <c r="AR87" s="94"/>
      <c r="AS87" s="94"/>
      <c r="AT87" s="94"/>
      <c r="AU87" s="94"/>
      <c r="AV87" s="94"/>
      <c r="AW87" s="94"/>
      <c r="AX87" s="94"/>
      <c r="AY87" s="94"/>
      <c r="AZ87" s="94"/>
      <c r="BA87" s="94"/>
      <c r="BB87" s="94"/>
      <c r="BC87" s="94"/>
      <c r="BD87" s="94"/>
      <c r="BE87" s="94"/>
      <c r="BF87" s="94"/>
      <c r="BG87" s="94"/>
      <c r="BH87" s="94"/>
      <c r="BI87" s="94"/>
      <c r="BJ87" s="94"/>
      <c r="BK87" s="94"/>
      <c r="BL87" s="94"/>
      <c r="BM87" s="94"/>
      <c r="BN87" s="94"/>
      <c r="BO87" s="94"/>
      <c r="BP87" s="94"/>
      <c r="BQ87" s="94"/>
      <c r="BR87" s="94"/>
      <c r="BS87" s="94"/>
      <c r="BT87" s="94"/>
      <c r="BU87" s="94"/>
      <c r="BV87" s="94"/>
      <c r="BW87" s="94"/>
      <c r="BX87" s="94"/>
      <c r="BY87" s="94"/>
      <c r="BZ87" s="94"/>
      <c r="CA87" s="94"/>
      <c r="CB87" s="94"/>
      <c r="CC87" s="94"/>
      <c r="CD87" s="94"/>
      <c r="CE87" s="94"/>
      <c r="CF87" s="94"/>
    </row>
    <row r="88" spans="1:84" x14ac:dyDescent="0.25">
      <c r="A88" s="94"/>
      <c r="B88" s="94"/>
      <c r="C88" s="94"/>
      <c r="D88" s="94"/>
      <c r="E88" s="94"/>
      <c r="F88" s="94"/>
      <c r="G88" s="94"/>
      <c r="H88" s="147" t="str">
        <f>Master_Table[[#This Row],[LES-Type]]&amp;"-"&amp;Master_Table[[#This Row],[Nominal CCT+CRI]]&amp;Master_Table[[#This Row],[Tech]]</f>
        <v>-</v>
      </c>
      <c r="I88"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8" s="94"/>
      <c r="K88" s="94"/>
      <c r="L88" s="94"/>
      <c r="M88" s="102" t="e">
        <f>Master_Table[[#This Row],[Typical Lumens]]/(Master_Table[[#This Row],[Typical Voltage]]*Master_Table[[#This Row],[Typical Current]]/1000)</f>
        <v>#DIV/0!</v>
      </c>
      <c r="N88" s="94"/>
      <c r="O88" s="94"/>
      <c r="P88" s="94"/>
      <c r="Q88" s="94"/>
      <c r="R88" s="94"/>
      <c r="S88" s="94"/>
      <c r="T88" s="94"/>
      <c r="U88" s="94"/>
      <c r="V88" s="94"/>
      <c r="W88" s="94"/>
      <c r="X88" s="94"/>
      <c r="Y88" s="94"/>
      <c r="Z88" s="94"/>
      <c r="AA88" s="94"/>
      <c r="AB88" s="94"/>
      <c r="AC88" s="94"/>
      <c r="AD88" s="94"/>
      <c r="AE88" s="94"/>
      <c r="AF88" s="94"/>
      <c r="AG88" s="94"/>
      <c r="AH88" s="94"/>
      <c r="AI88" s="94"/>
      <c r="AJ88" s="94"/>
      <c r="AK88" s="102" t="e">
        <f>Master_Table[[#This Row],[Typical Lumens2]]/(Master_Table[[#This Row],[Typical Voltage2]]*Master_Table[[#This Row],[Typical Current]]/1000)</f>
        <v>#DIV/0!</v>
      </c>
      <c r="AL88" s="94"/>
      <c r="AM88" s="94"/>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4"/>
      <c r="BR88" s="94"/>
      <c r="BS88" s="94"/>
      <c r="BT88" s="94"/>
      <c r="BU88" s="94"/>
      <c r="BV88" s="94"/>
      <c r="BW88" s="94"/>
      <c r="BX88" s="94"/>
      <c r="BY88" s="94"/>
      <c r="BZ88" s="94"/>
      <c r="CA88" s="94"/>
      <c r="CB88" s="94"/>
      <c r="CC88" s="94"/>
      <c r="CD88" s="94"/>
      <c r="CE88" s="94"/>
      <c r="CF88" s="94"/>
    </row>
    <row r="89" spans="1:84" x14ac:dyDescent="0.25">
      <c r="A89" s="94"/>
      <c r="B89" s="94"/>
      <c r="C89" s="94"/>
      <c r="D89" s="94"/>
      <c r="E89" s="94"/>
      <c r="F89" s="94"/>
      <c r="G89" s="94"/>
      <c r="H89" s="147" t="str">
        <f>Master_Table[[#This Row],[LES-Type]]&amp;"-"&amp;Master_Table[[#This Row],[Nominal CCT+CRI]]&amp;Master_Table[[#This Row],[Tech]]</f>
        <v>-</v>
      </c>
      <c r="I89"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89" s="94"/>
      <c r="K89" s="94"/>
      <c r="L89" s="94"/>
      <c r="M89" s="102" t="e">
        <f>Master_Table[[#This Row],[Typical Lumens]]/(Master_Table[[#This Row],[Typical Voltage]]*Master_Table[[#This Row],[Typical Current]]/1000)</f>
        <v>#DIV/0!</v>
      </c>
      <c r="N89" s="94"/>
      <c r="O89" s="94"/>
      <c r="P89" s="94"/>
      <c r="Q89" s="94"/>
      <c r="R89" s="94"/>
      <c r="S89" s="94"/>
      <c r="T89" s="94"/>
      <c r="U89" s="94"/>
      <c r="V89" s="94"/>
      <c r="W89" s="94"/>
      <c r="X89" s="94"/>
      <c r="Y89" s="94"/>
      <c r="Z89" s="94"/>
      <c r="AA89" s="94"/>
      <c r="AB89" s="94"/>
      <c r="AC89" s="94"/>
      <c r="AD89" s="94"/>
      <c r="AE89" s="94"/>
      <c r="AF89" s="94"/>
      <c r="AG89" s="94"/>
      <c r="AH89" s="94"/>
      <c r="AI89" s="94"/>
      <c r="AJ89" s="94"/>
      <c r="AK89" s="102" t="e">
        <f>Master_Table[[#This Row],[Typical Lumens2]]/(Master_Table[[#This Row],[Typical Voltage2]]*Master_Table[[#This Row],[Typical Current]]/1000)</f>
        <v>#DIV/0!</v>
      </c>
      <c r="AL89" s="94"/>
      <c r="AM89" s="94"/>
      <c r="AN89" s="94"/>
      <c r="AO89" s="94"/>
      <c r="AP89" s="94"/>
      <c r="AQ89" s="94"/>
      <c r="AR89" s="94"/>
      <c r="AS89" s="94"/>
      <c r="AT89" s="94"/>
      <c r="AU89" s="94"/>
      <c r="AV89" s="94"/>
      <c r="AW89" s="94"/>
      <c r="AX89" s="94"/>
      <c r="AY89" s="94"/>
      <c r="AZ89" s="94"/>
      <c r="BA89" s="94"/>
      <c r="BB89" s="94"/>
      <c r="BC89" s="94"/>
      <c r="BD89" s="94"/>
      <c r="BE89" s="94"/>
      <c r="BF89" s="94"/>
      <c r="BG89" s="94"/>
      <c r="BH89" s="94"/>
      <c r="BI89" s="94"/>
      <c r="BJ89" s="94"/>
      <c r="BK89" s="94"/>
      <c r="BL89" s="94"/>
      <c r="BM89" s="94"/>
      <c r="BN89" s="94"/>
      <c r="BO89" s="94"/>
      <c r="BP89" s="94"/>
      <c r="BQ89" s="94"/>
      <c r="BR89" s="94"/>
      <c r="BS89" s="94"/>
      <c r="BT89" s="94"/>
      <c r="BU89" s="94"/>
      <c r="BV89" s="94"/>
      <c r="BW89" s="94"/>
      <c r="BX89" s="94"/>
      <c r="BY89" s="94"/>
      <c r="BZ89" s="94"/>
      <c r="CA89" s="94"/>
      <c r="CB89" s="94"/>
      <c r="CC89" s="94"/>
      <c r="CD89" s="94"/>
      <c r="CE89" s="94"/>
      <c r="CF89" s="94"/>
    </row>
    <row r="90" spans="1:84" x14ac:dyDescent="0.25">
      <c r="A90" s="94"/>
      <c r="B90" s="94"/>
      <c r="C90" s="94"/>
      <c r="D90" s="94"/>
      <c r="E90" s="94"/>
      <c r="F90" s="94"/>
      <c r="G90" s="94"/>
      <c r="H90" s="147" t="str">
        <f>Master_Table[[#This Row],[LES-Type]]&amp;"-"&amp;Master_Table[[#This Row],[Nominal CCT+CRI]]&amp;Master_Table[[#This Row],[Tech]]</f>
        <v>-</v>
      </c>
      <c r="I90"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0" s="94"/>
      <c r="K90" s="94"/>
      <c r="L90" s="94"/>
      <c r="M90" s="102" t="e">
        <f>Master_Table[[#This Row],[Typical Lumens]]/(Master_Table[[#This Row],[Typical Voltage]]*Master_Table[[#This Row],[Typical Current]]/1000)</f>
        <v>#DIV/0!</v>
      </c>
      <c r="N90" s="94"/>
      <c r="O90" s="94"/>
      <c r="P90" s="94"/>
      <c r="Q90" s="94"/>
      <c r="R90" s="94"/>
      <c r="S90" s="94"/>
      <c r="T90" s="94"/>
      <c r="U90" s="94"/>
      <c r="V90" s="94"/>
      <c r="W90" s="94"/>
      <c r="X90" s="94"/>
      <c r="Y90" s="94"/>
      <c r="Z90" s="94"/>
      <c r="AA90" s="94"/>
      <c r="AB90" s="94"/>
      <c r="AC90" s="94"/>
      <c r="AD90" s="94"/>
      <c r="AE90" s="94"/>
      <c r="AF90" s="94"/>
      <c r="AG90" s="94"/>
      <c r="AH90" s="94"/>
      <c r="AI90" s="94"/>
      <c r="AJ90" s="94"/>
      <c r="AK90" s="102" t="e">
        <f>Master_Table[[#This Row],[Typical Lumens2]]/(Master_Table[[#This Row],[Typical Voltage2]]*Master_Table[[#This Row],[Typical Current]]/1000)</f>
        <v>#DIV/0!</v>
      </c>
      <c r="AL90" s="94"/>
      <c r="AM90" s="94"/>
      <c r="AN90" s="94"/>
      <c r="AO90" s="94"/>
      <c r="AP90" s="94"/>
      <c r="AQ90" s="94"/>
      <c r="AR90" s="94"/>
      <c r="AS90" s="94"/>
      <c r="AT90" s="94"/>
      <c r="AU90" s="94"/>
      <c r="AV90" s="94"/>
      <c r="AW90" s="94"/>
      <c r="AX90" s="94"/>
      <c r="AY90" s="94"/>
      <c r="AZ90" s="94"/>
      <c r="BA90" s="94"/>
      <c r="BB90" s="94"/>
      <c r="BC90" s="94"/>
      <c r="BD90" s="94"/>
      <c r="BE90" s="94"/>
      <c r="BF90" s="94"/>
      <c r="BG90" s="94"/>
      <c r="BH90" s="94"/>
      <c r="BI90" s="94"/>
      <c r="BJ90" s="94"/>
      <c r="BK90" s="94"/>
      <c r="BL90" s="94"/>
      <c r="BM90" s="94"/>
      <c r="BN90" s="94"/>
      <c r="BO90" s="94"/>
      <c r="BP90" s="94"/>
      <c r="BQ90" s="94"/>
      <c r="BR90" s="94"/>
      <c r="BS90" s="94"/>
      <c r="BT90" s="94"/>
      <c r="BU90" s="94"/>
      <c r="BV90" s="94"/>
      <c r="BW90" s="94"/>
      <c r="BX90" s="94"/>
      <c r="BY90" s="94"/>
      <c r="BZ90" s="94"/>
      <c r="CA90" s="94"/>
      <c r="CB90" s="94"/>
      <c r="CC90" s="94"/>
      <c r="CD90" s="94"/>
      <c r="CE90" s="94"/>
      <c r="CF90" s="94"/>
    </row>
    <row r="91" spans="1:84" x14ac:dyDescent="0.25">
      <c r="A91" s="94"/>
      <c r="B91" s="94"/>
      <c r="C91" s="94"/>
      <c r="D91" s="94"/>
      <c r="E91" s="94"/>
      <c r="F91" s="94"/>
      <c r="G91" s="94"/>
      <c r="H91" s="147" t="str">
        <f>Master_Table[[#This Row],[LES-Type]]&amp;"-"&amp;Master_Table[[#This Row],[Nominal CCT+CRI]]&amp;Master_Table[[#This Row],[Tech]]</f>
        <v>-</v>
      </c>
      <c r="I91"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1" s="94"/>
      <c r="K91" s="94"/>
      <c r="L91" s="94"/>
      <c r="M91" s="102" t="e">
        <f>Master_Table[[#This Row],[Typical Lumens]]/(Master_Table[[#This Row],[Typical Voltage]]*Master_Table[[#This Row],[Typical Current]]/1000)</f>
        <v>#DIV/0!</v>
      </c>
      <c r="N91" s="94"/>
      <c r="O91" s="94"/>
      <c r="P91" s="94"/>
      <c r="Q91" s="94"/>
      <c r="R91" s="94"/>
      <c r="S91" s="94"/>
      <c r="T91" s="94"/>
      <c r="U91" s="94"/>
      <c r="V91" s="94"/>
      <c r="W91" s="94"/>
      <c r="X91" s="94"/>
      <c r="Y91" s="94"/>
      <c r="Z91" s="94"/>
      <c r="AA91" s="94"/>
      <c r="AB91" s="94"/>
      <c r="AC91" s="94"/>
      <c r="AD91" s="94"/>
      <c r="AE91" s="94"/>
      <c r="AF91" s="94"/>
      <c r="AG91" s="94"/>
      <c r="AH91" s="94"/>
      <c r="AI91" s="94"/>
      <c r="AJ91" s="94"/>
      <c r="AK91" s="102" t="e">
        <f>Master_Table[[#This Row],[Typical Lumens2]]/(Master_Table[[#This Row],[Typical Voltage2]]*Master_Table[[#This Row],[Typical Current]]/1000)</f>
        <v>#DIV/0!</v>
      </c>
      <c r="AL91" s="94"/>
      <c r="AM91" s="94"/>
      <c r="AN91" s="94"/>
      <c r="AO91" s="94"/>
      <c r="AP91" s="94"/>
      <c r="AQ91" s="94"/>
      <c r="AR91" s="94"/>
      <c r="AS91" s="94"/>
      <c r="AT91" s="94"/>
      <c r="AU91" s="94"/>
      <c r="AV91" s="94"/>
      <c r="AW91" s="94"/>
      <c r="AX91" s="94"/>
      <c r="AY91" s="94"/>
      <c r="AZ91" s="94"/>
      <c r="BA91" s="94"/>
      <c r="BB91" s="94"/>
      <c r="BC91" s="94"/>
      <c r="BD91" s="94"/>
      <c r="BE91" s="94"/>
      <c r="BF91" s="94"/>
      <c r="BG91" s="94"/>
      <c r="BH91" s="94"/>
      <c r="BI91" s="94"/>
      <c r="BJ91" s="94"/>
      <c r="BK91" s="94"/>
      <c r="BL91" s="94"/>
      <c r="BM91" s="94"/>
      <c r="BN91" s="94"/>
      <c r="BO91" s="94"/>
      <c r="BP91" s="94"/>
      <c r="BQ91" s="94"/>
      <c r="BR91" s="94"/>
      <c r="BS91" s="94"/>
      <c r="BT91" s="94"/>
      <c r="BU91" s="94"/>
      <c r="BV91" s="94"/>
      <c r="BW91" s="94"/>
      <c r="BX91" s="94"/>
      <c r="BY91" s="94"/>
      <c r="BZ91" s="94"/>
      <c r="CA91" s="94"/>
      <c r="CB91" s="94"/>
      <c r="CC91" s="94"/>
      <c r="CD91" s="94"/>
      <c r="CE91" s="94"/>
      <c r="CF91" s="94"/>
    </row>
    <row r="92" spans="1:84" x14ac:dyDescent="0.25">
      <c r="A92" s="94"/>
      <c r="B92" s="94"/>
      <c r="C92" s="94"/>
      <c r="D92" s="94"/>
      <c r="E92" s="94"/>
      <c r="F92" s="94"/>
      <c r="G92" s="94"/>
      <c r="H92" s="147" t="str">
        <f>Master_Table[[#This Row],[LES-Type]]&amp;"-"&amp;Master_Table[[#This Row],[Nominal CCT+CRI]]&amp;Master_Table[[#This Row],[Tech]]</f>
        <v>-</v>
      </c>
      <c r="I92"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2" s="94"/>
      <c r="K92" s="94"/>
      <c r="L92" s="94"/>
      <c r="M92" s="102" t="e">
        <f>Master_Table[[#This Row],[Typical Lumens]]/(Master_Table[[#This Row],[Typical Voltage]]*Master_Table[[#This Row],[Typical Current]]/1000)</f>
        <v>#DIV/0!</v>
      </c>
      <c r="N92" s="94"/>
      <c r="O92" s="94"/>
      <c r="P92" s="94"/>
      <c r="Q92" s="94"/>
      <c r="R92" s="94"/>
      <c r="S92" s="94"/>
      <c r="T92" s="94"/>
      <c r="U92" s="94"/>
      <c r="V92" s="94"/>
      <c r="W92" s="94"/>
      <c r="X92" s="94"/>
      <c r="Y92" s="94"/>
      <c r="Z92" s="94"/>
      <c r="AA92" s="94"/>
      <c r="AB92" s="94"/>
      <c r="AC92" s="94"/>
      <c r="AD92" s="94"/>
      <c r="AE92" s="94"/>
      <c r="AF92" s="94"/>
      <c r="AG92" s="94"/>
      <c r="AH92" s="94"/>
      <c r="AI92" s="94"/>
      <c r="AJ92" s="94"/>
      <c r="AK92" s="102" t="e">
        <f>Master_Table[[#This Row],[Typical Lumens2]]/(Master_Table[[#This Row],[Typical Voltage2]]*Master_Table[[#This Row],[Typical Current]]/1000)</f>
        <v>#DIV/0!</v>
      </c>
      <c r="AL92" s="94"/>
      <c r="AM92" s="94"/>
      <c r="AN92" s="94"/>
      <c r="AO92" s="94"/>
      <c r="AP92" s="94"/>
      <c r="AQ92" s="94"/>
      <c r="AR92" s="94"/>
      <c r="AS92" s="94"/>
      <c r="AT92" s="94"/>
      <c r="AU92" s="94"/>
      <c r="AV92" s="94"/>
      <c r="AW92" s="94"/>
      <c r="AX92" s="94"/>
      <c r="AY92" s="94"/>
      <c r="AZ92" s="94"/>
      <c r="BA92" s="94"/>
      <c r="BB92" s="94"/>
      <c r="BC92" s="94"/>
      <c r="BD92" s="94"/>
      <c r="BE92" s="94"/>
      <c r="BF92" s="94"/>
      <c r="BG92" s="94"/>
      <c r="BH92" s="94"/>
      <c r="BI92" s="94"/>
      <c r="BJ92" s="94"/>
      <c r="BK92" s="94"/>
      <c r="BL92" s="94"/>
      <c r="BM92" s="94"/>
      <c r="BN92" s="94"/>
      <c r="BO92" s="94"/>
      <c r="BP92" s="94"/>
      <c r="BQ92" s="94"/>
      <c r="BR92" s="94"/>
      <c r="BS92" s="94"/>
      <c r="BT92" s="94"/>
      <c r="BU92" s="94"/>
      <c r="BV92" s="94"/>
      <c r="BW92" s="94"/>
      <c r="BX92" s="94"/>
      <c r="BY92" s="94"/>
      <c r="BZ92" s="94"/>
      <c r="CA92" s="94"/>
      <c r="CB92" s="94"/>
      <c r="CC92" s="94"/>
      <c r="CD92" s="94"/>
      <c r="CE92" s="94"/>
      <c r="CF92" s="94"/>
    </row>
    <row r="93" spans="1:84" x14ac:dyDescent="0.25">
      <c r="A93" s="94"/>
      <c r="B93" s="94"/>
      <c r="C93" s="94"/>
      <c r="D93" s="94"/>
      <c r="E93" s="94"/>
      <c r="F93" s="94"/>
      <c r="G93" s="94"/>
      <c r="H93" s="147" t="str">
        <f>Master_Table[[#This Row],[LES-Type]]&amp;"-"&amp;Master_Table[[#This Row],[Nominal CCT+CRI]]&amp;Master_Table[[#This Row],[Tech]]</f>
        <v>-</v>
      </c>
      <c r="I93"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3" s="94"/>
      <c r="K93" s="94"/>
      <c r="L93" s="94"/>
      <c r="M93" s="102" t="e">
        <f>Master_Table[[#This Row],[Typical Lumens]]/(Master_Table[[#This Row],[Typical Voltage]]*Master_Table[[#This Row],[Typical Current]]/1000)</f>
        <v>#DIV/0!</v>
      </c>
      <c r="N93" s="94"/>
      <c r="O93" s="94"/>
      <c r="P93" s="94"/>
      <c r="Q93" s="94"/>
      <c r="R93" s="94"/>
      <c r="S93" s="94"/>
      <c r="T93" s="94"/>
      <c r="U93" s="94"/>
      <c r="V93" s="94"/>
      <c r="W93" s="94"/>
      <c r="X93" s="94"/>
      <c r="Y93" s="94"/>
      <c r="Z93" s="94"/>
      <c r="AA93" s="94"/>
      <c r="AB93" s="94"/>
      <c r="AC93" s="94"/>
      <c r="AD93" s="94"/>
      <c r="AE93" s="94"/>
      <c r="AF93" s="94"/>
      <c r="AG93" s="94"/>
      <c r="AH93" s="94"/>
      <c r="AI93" s="94"/>
      <c r="AJ93" s="94"/>
      <c r="AK93" s="102" t="e">
        <f>Master_Table[[#This Row],[Typical Lumens2]]/(Master_Table[[#This Row],[Typical Voltage2]]*Master_Table[[#This Row],[Typical Current]]/1000)</f>
        <v>#DIV/0!</v>
      </c>
      <c r="AL93" s="94"/>
      <c r="AM93" s="94"/>
      <c r="AN93" s="94"/>
      <c r="AO93" s="94"/>
      <c r="AP93" s="94"/>
      <c r="AQ93" s="94"/>
      <c r="AR93" s="94"/>
      <c r="AS93" s="94"/>
      <c r="AT93" s="94"/>
      <c r="AU93" s="94"/>
      <c r="AV93" s="94"/>
      <c r="AW93" s="94"/>
      <c r="AX93" s="94"/>
      <c r="AY93" s="94"/>
      <c r="AZ93" s="94"/>
      <c r="BA93" s="94"/>
      <c r="BB93" s="94"/>
      <c r="BC93" s="94"/>
      <c r="BD93" s="94"/>
      <c r="BE93" s="94"/>
      <c r="BF93" s="94"/>
      <c r="BG93" s="94"/>
      <c r="BH93" s="94"/>
      <c r="BI93" s="94"/>
      <c r="BJ93" s="94"/>
      <c r="BK93" s="94"/>
      <c r="BL93" s="94"/>
      <c r="BM93" s="94"/>
      <c r="BN93" s="94"/>
      <c r="BO93" s="94"/>
      <c r="BP93" s="94"/>
      <c r="BQ93" s="94"/>
      <c r="BR93" s="94"/>
      <c r="BS93" s="94"/>
      <c r="BT93" s="94"/>
      <c r="BU93" s="94"/>
      <c r="BV93" s="94"/>
      <c r="BW93" s="94"/>
      <c r="BX93" s="94"/>
      <c r="BY93" s="94"/>
      <c r="BZ93" s="94"/>
      <c r="CA93" s="94"/>
      <c r="CB93" s="94"/>
      <c r="CC93" s="94"/>
      <c r="CD93" s="94"/>
      <c r="CE93" s="94"/>
      <c r="CF93" s="94"/>
    </row>
    <row r="94" spans="1:84" x14ac:dyDescent="0.25">
      <c r="A94" s="94"/>
      <c r="B94" s="94"/>
      <c r="C94" s="94"/>
      <c r="D94" s="94"/>
      <c r="E94" s="94"/>
      <c r="F94" s="94"/>
      <c r="G94" s="94"/>
      <c r="H94" s="147" t="str">
        <f>Master_Table[[#This Row],[LES-Type]]&amp;"-"&amp;Master_Table[[#This Row],[Nominal CCT+CRI]]&amp;Master_Table[[#This Row],[Tech]]</f>
        <v>-</v>
      </c>
      <c r="I94"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4" s="94"/>
      <c r="K94" s="94"/>
      <c r="L94" s="94"/>
      <c r="M94" s="102" t="e">
        <f>Master_Table[[#This Row],[Typical Lumens]]/(Master_Table[[#This Row],[Typical Voltage]]*Master_Table[[#This Row],[Typical Current]]/1000)</f>
        <v>#DIV/0!</v>
      </c>
      <c r="N94" s="94"/>
      <c r="O94" s="94"/>
      <c r="P94" s="94"/>
      <c r="Q94" s="94"/>
      <c r="R94" s="94"/>
      <c r="S94" s="94"/>
      <c r="T94" s="94"/>
      <c r="U94" s="94"/>
      <c r="V94" s="94"/>
      <c r="W94" s="94"/>
      <c r="X94" s="94"/>
      <c r="Y94" s="94"/>
      <c r="Z94" s="94"/>
      <c r="AA94" s="94"/>
      <c r="AB94" s="94"/>
      <c r="AC94" s="94"/>
      <c r="AD94" s="94"/>
      <c r="AE94" s="94"/>
      <c r="AF94" s="94"/>
      <c r="AG94" s="94"/>
      <c r="AH94" s="94"/>
      <c r="AI94" s="94"/>
      <c r="AJ94" s="94"/>
      <c r="AK94" s="102" t="e">
        <f>Master_Table[[#This Row],[Typical Lumens2]]/(Master_Table[[#This Row],[Typical Voltage2]]*Master_Table[[#This Row],[Typical Current]]/1000)</f>
        <v>#DIV/0!</v>
      </c>
      <c r="AL94" s="94"/>
      <c r="AM94" s="94"/>
      <c r="AN94" s="94"/>
      <c r="AO94" s="94"/>
      <c r="AP94" s="94"/>
      <c r="AQ94" s="94"/>
      <c r="AR94" s="94"/>
      <c r="AS94" s="94"/>
      <c r="AT94" s="94"/>
      <c r="AU94" s="94"/>
      <c r="AV94" s="94"/>
      <c r="AW94" s="94"/>
      <c r="AX94" s="94"/>
      <c r="AY94" s="94"/>
      <c r="AZ94" s="94"/>
      <c r="BA94" s="94"/>
      <c r="BB94" s="94"/>
      <c r="BC94" s="94"/>
      <c r="BD94" s="94"/>
      <c r="BE94" s="94"/>
      <c r="BF94" s="94"/>
      <c r="BG94" s="94"/>
      <c r="BH94" s="94"/>
      <c r="BI94" s="94"/>
      <c r="BJ94" s="94"/>
      <c r="BK94" s="94"/>
      <c r="BL94" s="94"/>
      <c r="BM94" s="94"/>
      <c r="BN94" s="94"/>
      <c r="BO94" s="94"/>
      <c r="BP94" s="94"/>
      <c r="BQ94" s="94"/>
      <c r="BR94" s="94"/>
      <c r="BS94" s="94"/>
      <c r="BT94" s="94"/>
      <c r="BU94" s="94"/>
      <c r="BV94" s="94"/>
      <c r="BW94" s="94"/>
      <c r="BX94" s="94"/>
      <c r="BY94" s="94"/>
      <c r="BZ94" s="94"/>
      <c r="CA94" s="94"/>
      <c r="CB94" s="94"/>
      <c r="CC94" s="94"/>
      <c r="CD94" s="94"/>
      <c r="CE94" s="94"/>
      <c r="CF94" s="94"/>
    </row>
    <row r="95" spans="1:84" x14ac:dyDescent="0.25">
      <c r="A95" s="94"/>
      <c r="B95" s="94"/>
      <c r="C95" s="94"/>
      <c r="D95" s="94"/>
      <c r="E95" s="94"/>
      <c r="F95" s="94"/>
      <c r="G95" s="94"/>
      <c r="H95" s="147" t="str">
        <f>Master_Table[[#This Row],[LES-Type]]&amp;"-"&amp;Master_Table[[#This Row],[Nominal CCT+CRI]]&amp;Master_Table[[#This Row],[Tech]]</f>
        <v>-</v>
      </c>
      <c r="I95"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5" s="94"/>
      <c r="K95" s="94"/>
      <c r="L95" s="94"/>
      <c r="M95" s="102" t="e">
        <f>Master_Table[[#This Row],[Typical Lumens]]/(Master_Table[[#This Row],[Typical Voltage]]*Master_Table[[#This Row],[Typical Current]]/1000)</f>
        <v>#DIV/0!</v>
      </c>
      <c r="N95" s="94"/>
      <c r="O95" s="94"/>
      <c r="P95" s="94"/>
      <c r="Q95" s="94"/>
      <c r="R95" s="94"/>
      <c r="S95" s="94"/>
      <c r="T95" s="94"/>
      <c r="U95" s="94"/>
      <c r="V95" s="94"/>
      <c r="W95" s="94"/>
      <c r="X95" s="94"/>
      <c r="Y95" s="94"/>
      <c r="Z95" s="94"/>
      <c r="AA95" s="94"/>
      <c r="AB95" s="94"/>
      <c r="AC95" s="94"/>
      <c r="AD95" s="94"/>
      <c r="AE95" s="94"/>
      <c r="AF95" s="94"/>
      <c r="AG95" s="94"/>
      <c r="AH95" s="94"/>
      <c r="AI95" s="94"/>
      <c r="AJ95" s="94"/>
      <c r="AK95" s="102" t="e">
        <f>Master_Table[[#This Row],[Typical Lumens2]]/(Master_Table[[#This Row],[Typical Voltage2]]*Master_Table[[#This Row],[Typical Current]]/1000)</f>
        <v>#DIV/0!</v>
      </c>
      <c r="AL95" s="94"/>
      <c r="AM95" s="94"/>
      <c r="AN95" s="94"/>
      <c r="AO95" s="94"/>
      <c r="AP95" s="94"/>
      <c r="AQ95" s="94"/>
      <c r="AR95" s="94"/>
      <c r="AS95" s="94"/>
      <c r="AT95" s="94"/>
      <c r="AU95" s="94"/>
      <c r="AV95" s="94"/>
      <c r="AW95" s="94"/>
      <c r="AX95" s="94"/>
      <c r="AY95" s="94"/>
      <c r="AZ95" s="94"/>
      <c r="BA95" s="94"/>
      <c r="BB95" s="94"/>
      <c r="BC95" s="94"/>
      <c r="BD95" s="94"/>
      <c r="BE95" s="94"/>
      <c r="BF95" s="94"/>
      <c r="BG95" s="94"/>
      <c r="BH95" s="94"/>
      <c r="BI95" s="94"/>
      <c r="BJ95" s="94"/>
      <c r="BK95" s="94"/>
      <c r="BL95" s="94"/>
      <c r="BM95" s="94"/>
      <c r="BN95" s="94"/>
      <c r="BO95" s="94"/>
      <c r="BP95" s="94"/>
      <c r="BQ95" s="94"/>
      <c r="BR95" s="94"/>
      <c r="BS95" s="94"/>
      <c r="BT95" s="94"/>
      <c r="BU95" s="94"/>
      <c r="BV95" s="94"/>
      <c r="BW95" s="94"/>
      <c r="BX95" s="94"/>
      <c r="BY95" s="94"/>
      <c r="BZ95" s="94"/>
      <c r="CA95" s="94"/>
      <c r="CB95" s="94"/>
      <c r="CC95" s="94"/>
      <c r="CD95" s="94"/>
      <c r="CE95" s="94"/>
      <c r="CF95" s="94"/>
    </row>
    <row r="96" spans="1:84" x14ac:dyDescent="0.25">
      <c r="A96" s="94"/>
      <c r="B96" s="94"/>
      <c r="C96" s="94"/>
      <c r="D96" s="94"/>
      <c r="E96" s="94"/>
      <c r="F96" s="94"/>
      <c r="G96" s="94"/>
      <c r="H96" s="147" t="str">
        <f>Master_Table[[#This Row],[LES-Type]]&amp;"-"&amp;Master_Table[[#This Row],[Nominal CCT+CRI]]&amp;Master_Table[[#This Row],[Tech]]</f>
        <v>-</v>
      </c>
      <c r="I96"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6" s="94"/>
      <c r="K96" s="94"/>
      <c r="L96" s="94"/>
      <c r="M96" s="102" t="e">
        <f>Master_Table[[#This Row],[Typical Lumens]]/(Master_Table[[#This Row],[Typical Voltage]]*Master_Table[[#This Row],[Typical Current]]/1000)</f>
        <v>#DIV/0!</v>
      </c>
      <c r="N96" s="94"/>
      <c r="O96" s="94"/>
      <c r="P96" s="94"/>
      <c r="Q96" s="94"/>
      <c r="R96" s="94"/>
      <c r="S96" s="94"/>
      <c r="T96" s="94"/>
      <c r="U96" s="94"/>
      <c r="V96" s="94"/>
      <c r="W96" s="94"/>
      <c r="X96" s="94"/>
      <c r="Y96" s="94"/>
      <c r="Z96" s="94"/>
      <c r="AA96" s="94"/>
      <c r="AB96" s="94"/>
      <c r="AC96" s="94"/>
      <c r="AD96" s="94"/>
      <c r="AE96" s="94"/>
      <c r="AF96" s="94"/>
      <c r="AG96" s="94"/>
      <c r="AH96" s="94"/>
      <c r="AI96" s="94"/>
      <c r="AJ96" s="94"/>
      <c r="AK96" s="102" t="e">
        <f>Master_Table[[#This Row],[Typical Lumens2]]/(Master_Table[[#This Row],[Typical Voltage2]]*Master_Table[[#This Row],[Typical Current]]/1000)</f>
        <v>#DIV/0!</v>
      </c>
      <c r="AL96" s="94"/>
      <c r="AM96" s="94"/>
      <c r="AN96" s="94"/>
      <c r="AO96" s="94"/>
      <c r="AP96" s="94"/>
      <c r="AQ96" s="94"/>
      <c r="AR96" s="94"/>
      <c r="AS96" s="94"/>
      <c r="AT96" s="94"/>
      <c r="AU96" s="94"/>
      <c r="AV96" s="94"/>
      <c r="AW96" s="94"/>
      <c r="AX96" s="94"/>
      <c r="AY96" s="94"/>
      <c r="AZ96" s="94"/>
      <c r="BA96" s="94"/>
      <c r="BB96" s="94"/>
      <c r="BC96" s="94"/>
      <c r="BD96" s="94"/>
      <c r="BE96" s="94"/>
      <c r="BF96" s="94"/>
      <c r="BG96" s="94"/>
      <c r="BH96" s="94"/>
      <c r="BI96" s="94"/>
      <c r="BJ96" s="94"/>
      <c r="BK96" s="94"/>
      <c r="BL96" s="94"/>
      <c r="BM96" s="94"/>
      <c r="BN96" s="94"/>
      <c r="BO96" s="94"/>
      <c r="BP96" s="94"/>
      <c r="BQ96" s="94"/>
      <c r="BR96" s="94"/>
      <c r="BS96" s="94"/>
      <c r="BT96" s="94"/>
      <c r="BU96" s="94"/>
      <c r="BV96" s="94"/>
      <c r="BW96" s="94"/>
      <c r="BX96" s="94"/>
      <c r="BY96" s="94"/>
      <c r="BZ96" s="94"/>
      <c r="CA96" s="94"/>
      <c r="CB96" s="94"/>
      <c r="CC96" s="94"/>
      <c r="CD96" s="94"/>
      <c r="CE96" s="94"/>
      <c r="CF96" s="94"/>
    </row>
    <row r="97" spans="1:84" x14ac:dyDescent="0.25">
      <c r="A97" s="94"/>
      <c r="B97" s="94"/>
      <c r="C97" s="94"/>
      <c r="D97" s="94"/>
      <c r="E97" s="94"/>
      <c r="F97" s="94"/>
      <c r="G97" s="94"/>
      <c r="H97" s="147" t="str">
        <f>Master_Table[[#This Row],[LES-Type]]&amp;"-"&amp;Master_Table[[#This Row],[Nominal CCT+CRI]]&amp;Master_Table[[#This Row],[Tech]]</f>
        <v>-</v>
      </c>
      <c r="I97"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7" s="94"/>
      <c r="K97" s="94"/>
      <c r="L97" s="94"/>
      <c r="M97" s="102" t="e">
        <f>Master_Table[[#This Row],[Typical Lumens]]/(Master_Table[[#This Row],[Typical Voltage]]*Master_Table[[#This Row],[Typical Current]]/1000)</f>
        <v>#DIV/0!</v>
      </c>
      <c r="N97" s="94"/>
      <c r="O97" s="94"/>
      <c r="P97" s="94"/>
      <c r="Q97" s="94"/>
      <c r="R97" s="94"/>
      <c r="S97" s="94"/>
      <c r="T97" s="94"/>
      <c r="U97" s="94"/>
      <c r="V97" s="94"/>
      <c r="W97" s="94"/>
      <c r="X97" s="94"/>
      <c r="Y97" s="94"/>
      <c r="Z97" s="94"/>
      <c r="AA97" s="94"/>
      <c r="AB97" s="94"/>
      <c r="AC97" s="94"/>
      <c r="AD97" s="94"/>
      <c r="AE97" s="94"/>
      <c r="AF97" s="94"/>
      <c r="AG97" s="94"/>
      <c r="AH97" s="94"/>
      <c r="AI97" s="94"/>
      <c r="AJ97" s="94"/>
      <c r="AK97" s="102" t="e">
        <f>Master_Table[[#This Row],[Typical Lumens2]]/(Master_Table[[#This Row],[Typical Voltage2]]*Master_Table[[#This Row],[Typical Current]]/1000)</f>
        <v>#DIV/0!</v>
      </c>
      <c r="AL97" s="94"/>
      <c r="AM97" s="94"/>
      <c r="AN97" s="94"/>
      <c r="AO97" s="94"/>
      <c r="AP97" s="94"/>
      <c r="AQ97" s="94"/>
      <c r="AR97" s="94"/>
      <c r="AS97" s="94"/>
      <c r="AT97" s="94"/>
      <c r="AU97" s="94"/>
      <c r="AV97" s="94"/>
      <c r="AW97" s="94"/>
      <c r="AX97" s="94"/>
      <c r="AY97" s="94"/>
      <c r="AZ97" s="94"/>
      <c r="BA97" s="94"/>
      <c r="BB97" s="94"/>
      <c r="BC97" s="94"/>
      <c r="BD97" s="94"/>
      <c r="BE97" s="94"/>
      <c r="BF97" s="94"/>
      <c r="BG97" s="94"/>
      <c r="BH97" s="94"/>
      <c r="BI97" s="94"/>
      <c r="BJ97" s="94"/>
      <c r="BK97" s="94"/>
      <c r="BL97" s="94"/>
      <c r="BM97" s="94"/>
      <c r="BN97" s="94"/>
      <c r="BO97" s="94"/>
      <c r="BP97" s="94"/>
      <c r="BQ97" s="94"/>
      <c r="BR97" s="94"/>
      <c r="BS97" s="94"/>
      <c r="BT97" s="94"/>
      <c r="BU97" s="94"/>
      <c r="BV97" s="94"/>
      <c r="BW97" s="94"/>
      <c r="BX97" s="94"/>
      <c r="BY97" s="94"/>
      <c r="BZ97" s="94"/>
      <c r="CA97" s="94"/>
      <c r="CB97" s="94"/>
      <c r="CC97" s="94"/>
      <c r="CD97" s="94"/>
      <c r="CE97" s="94"/>
      <c r="CF97" s="94"/>
    </row>
    <row r="98" spans="1:84" x14ac:dyDescent="0.25">
      <c r="A98" s="94"/>
      <c r="B98" s="94"/>
      <c r="C98" s="94"/>
      <c r="D98" s="94"/>
      <c r="E98" s="94"/>
      <c r="F98" s="94"/>
      <c r="G98" s="94"/>
      <c r="H98" s="147" t="str">
        <f>Master_Table[[#This Row],[LES-Type]]&amp;"-"&amp;Master_Table[[#This Row],[Nominal CCT+CRI]]&amp;Master_Table[[#This Row],[Tech]]</f>
        <v>-</v>
      </c>
      <c r="I98"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8" s="94"/>
      <c r="K98" s="94"/>
      <c r="L98" s="94"/>
      <c r="M98" s="102" t="e">
        <f>Master_Table[[#This Row],[Typical Lumens]]/(Master_Table[[#This Row],[Typical Voltage]]*Master_Table[[#This Row],[Typical Current]]/1000)</f>
        <v>#DIV/0!</v>
      </c>
      <c r="N98" s="94"/>
      <c r="O98" s="94"/>
      <c r="P98" s="94"/>
      <c r="Q98" s="94"/>
      <c r="R98" s="94"/>
      <c r="S98" s="94"/>
      <c r="T98" s="94"/>
      <c r="U98" s="94"/>
      <c r="V98" s="94"/>
      <c r="W98" s="94"/>
      <c r="X98" s="94"/>
      <c r="Y98" s="94"/>
      <c r="Z98" s="94"/>
      <c r="AA98" s="94"/>
      <c r="AB98" s="94"/>
      <c r="AC98" s="94"/>
      <c r="AD98" s="94"/>
      <c r="AE98" s="94"/>
      <c r="AF98" s="94"/>
      <c r="AG98" s="94"/>
      <c r="AH98" s="94"/>
      <c r="AI98" s="94"/>
      <c r="AJ98" s="94"/>
      <c r="AK98" s="102" t="e">
        <f>Master_Table[[#This Row],[Typical Lumens2]]/(Master_Table[[#This Row],[Typical Voltage2]]*Master_Table[[#This Row],[Typical Current]]/1000)</f>
        <v>#DIV/0!</v>
      </c>
      <c r="AL98" s="94"/>
      <c r="AM98" s="94"/>
      <c r="AN98" s="94"/>
      <c r="AO98" s="94"/>
      <c r="AP98" s="94"/>
      <c r="AQ98" s="94"/>
      <c r="AR98" s="94"/>
      <c r="AS98" s="94"/>
      <c r="AT98" s="94"/>
      <c r="AU98" s="94"/>
      <c r="AV98" s="94"/>
      <c r="AW98" s="94"/>
      <c r="AX98" s="94"/>
      <c r="AY98" s="94"/>
      <c r="AZ98" s="94"/>
      <c r="BA98" s="94"/>
      <c r="BB98" s="94"/>
      <c r="BC98" s="94"/>
      <c r="BD98" s="94"/>
      <c r="BE98" s="94"/>
      <c r="BF98" s="94"/>
      <c r="BG98" s="94"/>
      <c r="BH98" s="94"/>
      <c r="BI98" s="94"/>
      <c r="BJ98" s="94"/>
      <c r="BK98" s="94"/>
      <c r="BL98" s="94"/>
      <c r="BM98" s="94"/>
      <c r="BN98" s="94"/>
      <c r="BO98" s="94"/>
      <c r="BP98" s="94"/>
      <c r="BQ98" s="94"/>
      <c r="BR98" s="94"/>
      <c r="BS98" s="94"/>
      <c r="BT98" s="94"/>
      <c r="BU98" s="94"/>
      <c r="BV98" s="94"/>
      <c r="BW98" s="94"/>
      <c r="BX98" s="94"/>
      <c r="BY98" s="94"/>
      <c r="BZ98" s="94"/>
      <c r="CA98" s="94"/>
      <c r="CB98" s="94"/>
      <c r="CC98" s="94"/>
      <c r="CD98" s="94"/>
      <c r="CE98" s="94"/>
      <c r="CF98" s="94"/>
    </row>
    <row r="99" spans="1:84" x14ac:dyDescent="0.25">
      <c r="A99" s="94"/>
      <c r="B99" s="94"/>
      <c r="C99" s="94"/>
      <c r="D99" s="94"/>
      <c r="E99" s="94"/>
      <c r="F99" s="94"/>
      <c r="G99" s="94"/>
      <c r="H99" s="147" t="str">
        <f>Master_Table[[#This Row],[LES-Type]]&amp;"-"&amp;Master_Table[[#This Row],[Nominal CCT+CRI]]&amp;Master_Table[[#This Row],[Tech]]</f>
        <v>-</v>
      </c>
      <c r="I99"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99" s="94"/>
      <c r="K99" s="94"/>
      <c r="L99" s="94"/>
      <c r="M99" s="102" t="e">
        <f>Master_Table[[#This Row],[Typical Lumens]]/(Master_Table[[#This Row],[Typical Voltage]]*Master_Table[[#This Row],[Typical Current]]/1000)</f>
        <v>#DIV/0!</v>
      </c>
      <c r="N99" s="94"/>
      <c r="O99" s="94"/>
      <c r="P99" s="94"/>
      <c r="Q99" s="94"/>
      <c r="R99" s="94"/>
      <c r="S99" s="94"/>
      <c r="T99" s="94"/>
      <c r="U99" s="94"/>
      <c r="V99" s="94"/>
      <c r="W99" s="94"/>
      <c r="X99" s="94"/>
      <c r="Y99" s="94"/>
      <c r="Z99" s="94"/>
      <c r="AA99" s="94"/>
      <c r="AB99" s="94"/>
      <c r="AC99" s="94"/>
      <c r="AD99" s="94"/>
      <c r="AE99" s="94"/>
      <c r="AF99" s="94"/>
      <c r="AG99" s="94"/>
      <c r="AH99" s="94"/>
      <c r="AI99" s="94"/>
      <c r="AJ99" s="94"/>
      <c r="AK99" s="102" t="e">
        <f>Master_Table[[#This Row],[Typical Lumens2]]/(Master_Table[[#This Row],[Typical Voltage2]]*Master_Table[[#This Row],[Typical Current]]/1000)</f>
        <v>#DIV/0!</v>
      </c>
      <c r="AL99" s="94"/>
      <c r="AM99" s="94"/>
      <c r="AN99" s="94"/>
      <c r="AO99" s="94"/>
      <c r="AP99" s="94"/>
      <c r="AQ99" s="94"/>
      <c r="AR99" s="94"/>
      <c r="AS99" s="94"/>
      <c r="AT99" s="94"/>
      <c r="AU99" s="94"/>
      <c r="AV99" s="94"/>
      <c r="AW99" s="94"/>
      <c r="AX99" s="94"/>
      <c r="AY99" s="94"/>
      <c r="AZ99" s="94"/>
      <c r="BA99" s="94"/>
      <c r="BB99" s="94"/>
      <c r="BC99" s="94"/>
      <c r="BD99" s="94"/>
      <c r="BE99" s="94"/>
      <c r="BF99" s="94"/>
      <c r="BG99" s="94"/>
      <c r="BH99" s="94"/>
      <c r="BI99" s="94"/>
      <c r="BJ99" s="94"/>
      <c r="BK99" s="94"/>
      <c r="BL99" s="94"/>
      <c r="BM99" s="94"/>
      <c r="BN99" s="94"/>
      <c r="BO99" s="94"/>
      <c r="BP99" s="94"/>
      <c r="BQ99" s="94"/>
      <c r="BR99" s="94"/>
      <c r="BS99" s="94"/>
      <c r="BT99" s="94"/>
      <c r="BU99" s="94"/>
      <c r="BV99" s="94"/>
      <c r="BW99" s="94"/>
      <c r="BX99" s="94"/>
      <c r="BY99" s="94"/>
      <c r="BZ99" s="94"/>
      <c r="CA99" s="94"/>
      <c r="CB99" s="94"/>
      <c r="CC99" s="94"/>
      <c r="CD99" s="94"/>
      <c r="CE99" s="94"/>
      <c r="CF99" s="94"/>
    </row>
    <row r="100" spans="1:84" x14ac:dyDescent="0.25">
      <c r="A100" s="94"/>
      <c r="B100" s="94"/>
      <c r="C100" s="94"/>
      <c r="D100" s="94"/>
      <c r="E100" s="94"/>
      <c r="F100" s="94"/>
      <c r="G100" s="94"/>
      <c r="H100" s="147" t="str">
        <f>Master_Table[[#This Row],[LES-Type]]&amp;"-"&amp;Master_Table[[#This Row],[Nominal CCT+CRI]]&amp;Master_Table[[#This Row],[Tech]]</f>
        <v>-</v>
      </c>
      <c r="I100"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0" s="94"/>
      <c r="K100" s="94"/>
      <c r="L100" s="94"/>
      <c r="M100" s="102" t="e">
        <f>Master_Table[[#This Row],[Typical Lumens]]/(Master_Table[[#This Row],[Typical Voltage]]*Master_Table[[#This Row],[Typical Current]]/1000)</f>
        <v>#DIV/0!</v>
      </c>
      <c r="N100" s="94"/>
      <c r="O100" s="94"/>
      <c r="P100" s="94"/>
      <c r="Q100" s="94"/>
      <c r="R100" s="94"/>
      <c r="S100" s="94"/>
      <c r="T100" s="94"/>
      <c r="U100" s="94"/>
      <c r="V100" s="94"/>
      <c r="W100" s="94"/>
      <c r="X100" s="94"/>
      <c r="Y100" s="94"/>
      <c r="Z100" s="94"/>
      <c r="AA100" s="94"/>
      <c r="AB100" s="94"/>
      <c r="AC100" s="94"/>
      <c r="AD100" s="94"/>
      <c r="AE100" s="94"/>
      <c r="AF100" s="94"/>
      <c r="AG100" s="94"/>
      <c r="AH100" s="94"/>
      <c r="AI100" s="94"/>
      <c r="AJ100" s="94"/>
      <c r="AK100" s="102" t="e">
        <f>Master_Table[[#This Row],[Typical Lumens2]]/(Master_Table[[#This Row],[Typical Voltage2]]*Master_Table[[#This Row],[Typical Current]]/1000)</f>
        <v>#DIV/0!</v>
      </c>
      <c r="AL100" s="94"/>
      <c r="AM100" s="94"/>
      <c r="AN100" s="94"/>
      <c r="AO100" s="94"/>
      <c r="AP100" s="94"/>
      <c r="AQ100" s="94"/>
      <c r="AR100" s="94"/>
      <c r="AS100" s="94"/>
      <c r="AT100" s="94"/>
      <c r="AU100" s="94"/>
      <c r="AV100" s="94"/>
      <c r="AW100" s="94"/>
      <c r="AX100" s="94"/>
      <c r="AY100" s="94"/>
      <c r="AZ100" s="94"/>
      <c r="BA100" s="94"/>
      <c r="BB100" s="94"/>
      <c r="BC100" s="94"/>
      <c r="BD100" s="94"/>
      <c r="BE100" s="94"/>
      <c r="BF100" s="94"/>
      <c r="BG100" s="94"/>
      <c r="BH100" s="94"/>
      <c r="BI100" s="94"/>
      <c r="BJ100" s="94"/>
      <c r="BK100" s="94"/>
      <c r="BL100" s="94"/>
      <c r="BM100" s="94"/>
      <c r="BN100" s="94"/>
      <c r="BO100" s="94"/>
      <c r="BP100" s="94"/>
      <c r="BQ100" s="94"/>
      <c r="BR100" s="94"/>
      <c r="BS100" s="94"/>
      <c r="BT100" s="94"/>
      <c r="BU100" s="94"/>
      <c r="BV100" s="94"/>
      <c r="BW100" s="94"/>
      <c r="BX100" s="94"/>
      <c r="BY100" s="94"/>
      <c r="BZ100" s="94"/>
      <c r="CA100" s="94"/>
      <c r="CB100" s="94"/>
      <c r="CC100" s="94"/>
      <c r="CD100" s="94"/>
      <c r="CE100" s="94"/>
      <c r="CF100" s="94"/>
    </row>
    <row r="101" spans="1:84" x14ac:dyDescent="0.25">
      <c r="A101" s="94"/>
      <c r="B101" s="94"/>
      <c r="C101" s="94"/>
      <c r="D101" s="94"/>
      <c r="E101" s="94"/>
      <c r="F101" s="94"/>
      <c r="G101" s="94"/>
      <c r="H101" s="147" t="str">
        <f>Master_Table[[#This Row],[LES-Type]]&amp;"-"&amp;Master_Table[[#This Row],[Nominal CCT+CRI]]&amp;Master_Table[[#This Row],[Tech]]</f>
        <v>-</v>
      </c>
      <c r="I101"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1" s="94"/>
      <c r="K101" s="94"/>
      <c r="L101" s="94"/>
      <c r="M101" s="102" t="e">
        <f>Master_Table[[#This Row],[Typical Lumens]]/(Master_Table[[#This Row],[Typical Voltage]]*Master_Table[[#This Row],[Typical Current]]/1000)</f>
        <v>#DIV/0!</v>
      </c>
      <c r="N101" s="94"/>
      <c r="O101" s="94"/>
      <c r="P101" s="94"/>
      <c r="Q101" s="94"/>
      <c r="R101" s="94"/>
      <c r="S101" s="94"/>
      <c r="T101" s="94"/>
      <c r="U101" s="94"/>
      <c r="V101" s="94"/>
      <c r="W101" s="94"/>
      <c r="X101" s="94"/>
      <c r="Y101" s="94"/>
      <c r="Z101" s="94"/>
      <c r="AA101" s="94"/>
      <c r="AB101" s="94"/>
      <c r="AC101" s="94"/>
      <c r="AD101" s="94"/>
      <c r="AE101" s="94"/>
      <c r="AF101" s="94"/>
      <c r="AG101" s="94"/>
      <c r="AH101" s="94"/>
      <c r="AI101" s="94"/>
      <c r="AJ101" s="94"/>
      <c r="AK101" s="102" t="e">
        <f>Master_Table[[#This Row],[Typical Lumens2]]/(Master_Table[[#This Row],[Typical Voltage2]]*Master_Table[[#This Row],[Typical Current]]/1000)</f>
        <v>#DIV/0!</v>
      </c>
      <c r="AL101" s="94"/>
      <c r="AM101" s="94"/>
      <c r="AN101" s="94"/>
      <c r="AO101" s="94"/>
      <c r="AP101" s="94"/>
      <c r="AQ101" s="94"/>
      <c r="AR101" s="94"/>
      <c r="AS101" s="94"/>
      <c r="AT101" s="94"/>
      <c r="AU101" s="94"/>
      <c r="AV101" s="94"/>
      <c r="AW101" s="94"/>
      <c r="AX101" s="94"/>
      <c r="AY101" s="94"/>
      <c r="AZ101" s="94"/>
      <c r="BA101" s="94"/>
      <c r="BB101" s="94"/>
      <c r="BC101" s="94"/>
      <c r="BD101" s="94"/>
      <c r="BE101" s="94"/>
      <c r="BF101" s="94"/>
      <c r="BG101" s="94"/>
      <c r="BH101" s="94"/>
      <c r="BI101" s="94"/>
      <c r="BJ101" s="94"/>
      <c r="BK101" s="94"/>
      <c r="BL101" s="94"/>
      <c r="BM101" s="94"/>
      <c r="BN101" s="94"/>
      <c r="BO101" s="94"/>
      <c r="BP101" s="94"/>
      <c r="BQ101" s="94"/>
      <c r="BR101" s="94"/>
      <c r="BS101" s="94"/>
      <c r="BT101" s="94"/>
      <c r="BU101" s="94"/>
      <c r="BV101" s="94"/>
      <c r="BW101" s="94"/>
      <c r="BX101" s="94"/>
      <c r="BY101" s="94"/>
      <c r="BZ101" s="94"/>
      <c r="CA101" s="94"/>
      <c r="CB101" s="94"/>
      <c r="CC101" s="94"/>
      <c r="CD101" s="94"/>
      <c r="CE101" s="94"/>
      <c r="CF101" s="94"/>
    </row>
    <row r="102" spans="1:84" x14ac:dyDescent="0.25">
      <c r="A102" s="94"/>
      <c r="B102" s="94"/>
      <c r="C102" s="94"/>
      <c r="D102" s="94"/>
      <c r="E102" s="94"/>
      <c r="F102" s="94"/>
      <c r="G102" s="94"/>
      <c r="H102" s="147" t="str">
        <f>Master_Table[[#This Row],[LES-Type]]&amp;"-"&amp;Master_Table[[#This Row],[Nominal CCT+CRI]]&amp;Master_Table[[#This Row],[Tech]]</f>
        <v>-</v>
      </c>
      <c r="I102"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2" s="94"/>
      <c r="K102" s="94"/>
      <c r="L102" s="94"/>
      <c r="M102" s="102" t="e">
        <f>Master_Table[[#This Row],[Typical Lumens]]/(Master_Table[[#This Row],[Typical Voltage]]*Master_Table[[#This Row],[Typical Current]]/1000)</f>
        <v>#DIV/0!</v>
      </c>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102" t="e">
        <f>Master_Table[[#This Row],[Typical Lumens2]]/(Master_Table[[#This Row],[Typical Voltage2]]*Master_Table[[#This Row],[Typical Current]]/1000)</f>
        <v>#DIV/0!</v>
      </c>
      <c r="AL102" s="94"/>
      <c r="AM102" s="94"/>
      <c r="AN102" s="94"/>
      <c r="AO102" s="94"/>
      <c r="AP102" s="94"/>
      <c r="AQ102" s="94"/>
      <c r="AR102" s="94"/>
      <c r="AS102" s="94"/>
      <c r="AT102" s="94"/>
      <c r="AU102" s="94"/>
      <c r="AV102" s="94"/>
      <c r="AW102" s="94"/>
      <c r="AX102" s="94"/>
      <c r="AY102" s="94"/>
      <c r="AZ102" s="94"/>
      <c r="BA102" s="94"/>
      <c r="BB102" s="94"/>
      <c r="BC102" s="94"/>
      <c r="BD102" s="94"/>
      <c r="BE102" s="94"/>
      <c r="BF102" s="94"/>
      <c r="BG102" s="94"/>
      <c r="BH102" s="94"/>
      <c r="BI102" s="94"/>
      <c r="BJ102" s="94"/>
      <c r="BK102" s="94"/>
      <c r="BL102" s="94"/>
      <c r="BM102" s="94"/>
      <c r="BN102" s="94"/>
      <c r="BO102" s="94"/>
      <c r="BP102" s="94"/>
      <c r="BQ102" s="94"/>
      <c r="BR102" s="94"/>
      <c r="BS102" s="94"/>
      <c r="BT102" s="94"/>
      <c r="BU102" s="94"/>
      <c r="BV102" s="94"/>
      <c r="BW102" s="94"/>
      <c r="BX102" s="94"/>
      <c r="BY102" s="94"/>
      <c r="BZ102" s="94"/>
      <c r="CA102" s="94"/>
      <c r="CB102" s="94"/>
      <c r="CC102" s="94"/>
      <c r="CD102" s="94"/>
      <c r="CE102" s="94"/>
      <c r="CF102" s="94"/>
    </row>
    <row r="103" spans="1:84" x14ac:dyDescent="0.25">
      <c r="A103" s="94"/>
      <c r="B103" s="94"/>
      <c r="C103" s="94"/>
      <c r="D103" s="94"/>
      <c r="E103" s="94"/>
      <c r="F103" s="94"/>
      <c r="G103" s="94"/>
      <c r="H103" s="147" t="str">
        <f>Master_Table[[#This Row],[LES-Type]]&amp;"-"&amp;Master_Table[[#This Row],[Nominal CCT+CRI]]&amp;Master_Table[[#This Row],[Tech]]</f>
        <v>-</v>
      </c>
      <c r="I103"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3" s="94"/>
      <c r="K103" s="94"/>
      <c r="L103" s="94"/>
      <c r="M103" s="102" t="e">
        <f>Master_Table[[#This Row],[Typical Lumens]]/(Master_Table[[#This Row],[Typical Voltage]]*Master_Table[[#This Row],[Typical Current]]/1000)</f>
        <v>#DIV/0!</v>
      </c>
      <c r="N103" s="94"/>
      <c r="O103" s="94"/>
      <c r="P103" s="94"/>
      <c r="Q103" s="94"/>
      <c r="R103" s="94"/>
      <c r="S103" s="94"/>
      <c r="T103" s="94"/>
      <c r="U103" s="94"/>
      <c r="V103" s="94"/>
      <c r="W103" s="94"/>
      <c r="X103" s="94"/>
      <c r="Y103" s="94"/>
      <c r="Z103" s="94"/>
      <c r="AA103" s="94"/>
      <c r="AB103" s="94"/>
      <c r="AC103" s="94"/>
      <c r="AD103" s="94"/>
      <c r="AE103" s="94"/>
      <c r="AF103" s="94"/>
      <c r="AG103" s="94"/>
      <c r="AH103" s="94"/>
      <c r="AI103" s="94"/>
      <c r="AJ103" s="94"/>
      <c r="AK103" s="102" t="e">
        <f>Master_Table[[#This Row],[Typical Lumens2]]/(Master_Table[[#This Row],[Typical Voltage2]]*Master_Table[[#This Row],[Typical Current]]/1000)</f>
        <v>#DIV/0!</v>
      </c>
      <c r="AL103" s="94"/>
      <c r="AM103" s="94"/>
      <c r="AN103" s="94"/>
      <c r="AO103" s="94"/>
      <c r="AP103" s="94"/>
      <c r="AQ103" s="94"/>
      <c r="AR103" s="94"/>
      <c r="AS103" s="94"/>
      <c r="AT103" s="94"/>
      <c r="AU103" s="94"/>
      <c r="AV103" s="94"/>
      <c r="AW103" s="94"/>
      <c r="AX103" s="94"/>
      <c r="AY103" s="94"/>
      <c r="AZ103" s="94"/>
      <c r="BA103" s="94"/>
      <c r="BB103" s="94"/>
      <c r="BC103" s="94"/>
      <c r="BD103" s="94"/>
      <c r="BE103" s="94"/>
      <c r="BF103" s="94"/>
      <c r="BG103" s="94"/>
      <c r="BH103" s="94"/>
      <c r="BI103" s="94"/>
      <c r="BJ103" s="94"/>
      <c r="BK103" s="94"/>
      <c r="BL103" s="94"/>
      <c r="BM103" s="94"/>
      <c r="BN103" s="94"/>
      <c r="BO103" s="94"/>
      <c r="BP103" s="94"/>
      <c r="BQ103" s="94"/>
      <c r="BR103" s="94"/>
      <c r="BS103" s="94"/>
      <c r="BT103" s="94"/>
      <c r="BU103" s="94"/>
      <c r="BV103" s="94"/>
      <c r="BW103" s="94"/>
      <c r="BX103" s="94"/>
      <c r="BY103" s="94"/>
      <c r="BZ103" s="94"/>
      <c r="CA103" s="94"/>
      <c r="CB103" s="94"/>
      <c r="CC103" s="94"/>
      <c r="CD103" s="94"/>
      <c r="CE103" s="94"/>
      <c r="CF103" s="94"/>
    </row>
    <row r="104" spans="1:84" x14ac:dyDescent="0.25">
      <c r="A104" s="94"/>
      <c r="B104" s="94"/>
      <c r="C104" s="94"/>
      <c r="D104" s="94"/>
      <c r="E104" s="94"/>
      <c r="F104" s="94"/>
      <c r="G104" s="94"/>
      <c r="H104" s="147" t="str">
        <f>Master_Table[[#This Row],[LES-Type]]&amp;"-"&amp;Master_Table[[#This Row],[Nominal CCT+CRI]]&amp;Master_Table[[#This Row],[Tech]]</f>
        <v>-</v>
      </c>
      <c r="I104"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4" s="94"/>
      <c r="K104" s="94"/>
      <c r="L104" s="94"/>
      <c r="M104" s="102" t="e">
        <f>Master_Table[[#This Row],[Typical Lumens]]/(Master_Table[[#This Row],[Typical Voltage]]*Master_Table[[#This Row],[Typical Current]]/1000)</f>
        <v>#DIV/0!</v>
      </c>
      <c r="N104" s="94"/>
      <c r="O104" s="94"/>
      <c r="P104" s="94"/>
      <c r="Q104" s="94"/>
      <c r="R104" s="94"/>
      <c r="S104" s="94"/>
      <c r="T104" s="94"/>
      <c r="U104" s="94"/>
      <c r="V104" s="94"/>
      <c r="W104" s="94"/>
      <c r="X104" s="94"/>
      <c r="Y104" s="94"/>
      <c r="Z104" s="94"/>
      <c r="AA104" s="94"/>
      <c r="AB104" s="94"/>
      <c r="AC104" s="94"/>
      <c r="AD104" s="94"/>
      <c r="AE104" s="94"/>
      <c r="AF104" s="94"/>
      <c r="AG104" s="94"/>
      <c r="AH104" s="94"/>
      <c r="AI104" s="94"/>
      <c r="AJ104" s="94"/>
      <c r="AK104" s="102" t="e">
        <f>Master_Table[[#This Row],[Typical Lumens2]]/(Master_Table[[#This Row],[Typical Voltage2]]*Master_Table[[#This Row],[Typical Current]]/1000)</f>
        <v>#DIV/0!</v>
      </c>
      <c r="AL104" s="94"/>
      <c r="AM104" s="94"/>
      <c r="AN104" s="94"/>
      <c r="AO104" s="94"/>
      <c r="AP104" s="94"/>
      <c r="AQ104" s="94"/>
      <c r="AR104" s="94"/>
      <c r="AS104" s="94"/>
      <c r="AT104" s="94"/>
      <c r="AU104" s="94"/>
      <c r="AV104" s="94"/>
      <c r="AW104" s="94"/>
      <c r="AX104" s="94"/>
      <c r="AY104" s="94"/>
      <c r="AZ104" s="94"/>
      <c r="BA104" s="94"/>
      <c r="BB104" s="94"/>
      <c r="BC104" s="94"/>
      <c r="BD104" s="94"/>
      <c r="BE104" s="94"/>
      <c r="BF104" s="94"/>
      <c r="BG104" s="94"/>
      <c r="BH104" s="94"/>
      <c r="BI104" s="94"/>
      <c r="BJ104" s="94"/>
      <c r="BK104" s="94"/>
      <c r="BL104" s="94"/>
      <c r="BM104" s="94"/>
      <c r="BN104" s="94"/>
      <c r="BO104" s="94"/>
      <c r="BP104" s="94"/>
      <c r="BQ104" s="94"/>
      <c r="BR104" s="94"/>
      <c r="BS104" s="94"/>
      <c r="BT104" s="94"/>
      <c r="BU104" s="94"/>
      <c r="BV104" s="94"/>
      <c r="BW104" s="94"/>
      <c r="BX104" s="94"/>
      <c r="BY104" s="94"/>
      <c r="BZ104" s="94"/>
      <c r="CA104" s="94"/>
      <c r="CB104" s="94"/>
      <c r="CC104" s="94"/>
      <c r="CD104" s="94"/>
      <c r="CE104" s="94"/>
      <c r="CF104" s="94"/>
    </row>
    <row r="105" spans="1:84" x14ac:dyDescent="0.25">
      <c r="A105" s="94"/>
      <c r="B105" s="94"/>
      <c r="C105" s="94"/>
      <c r="D105" s="94"/>
      <c r="E105" s="94"/>
      <c r="F105" s="94"/>
      <c r="G105" s="94"/>
      <c r="H105" s="147" t="str">
        <f>Master_Table[[#This Row],[LES-Type]]&amp;"-"&amp;Master_Table[[#This Row],[Nominal CCT+CRI]]&amp;Master_Table[[#This Row],[Tech]]</f>
        <v>-</v>
      </c>
      <c r="I105" s="147" t="str">
        <f>Master_Table[[#This Row],[Product Family]]&amp;"-"&amp;Master_Table[[#This Row],[Tunable White Array]]&amp;"-"&amp;Master_Table[[#This Row],[Nominal CCT+CRI]]&amp;"-"&amp;IF(Master_Table[[#This Row],[Lumen Family]]&lt;999,"0"&amp;Master_Table[[#This Row],[Lumen Family]],Master_Table[[#This Row],[Lumen Family]])&amp;"-"&amp;Master_Table[[#This Row],[Generation]]&amp;"-23"</f>
        <v>---0--23</v>
      </c>
      <c r="J105" s="94"/>
      <c r="K105" s="94"/>
      <c r="L105" s="94"/>
      <c r="M105" s="102" t="e">
        <f>Master_Table[[#This Row],[Typical Lumens]]/(Master_Table[[#This Row],[Typical Voltage]]*Master_Table[[#This Row],[Typical Current]]/1000)</f>
        <v>#DIV/0!</v>
      </c>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102" t="e">
        <f>Master_Table[[#This Row],[Typical Lumens2]]/(Master_Table[[#This Row],[Typical Voltage2]]*Master_Table[[#This Row],[Typical Current]]/1000)</f>
        <v>#DIV/0!</v>
      </c>
      <c r="AL105" s="94"/>
      <c r="AM105" s="94"/>
      <c r="AN105" s="94"/>
      <c r="AO105" s="94"/>
      <c r="AP105" s="94"/>
      <c r="AQ105" s="94"/>
      <c r="AR105" s="94"/>
      <c r="AS105" s="94"/>
      <c r="AT105" s="94"/>
      <c r="AU105" s="94"/>
      <c r="AV105" s="94"/>
      <c r="AW105" s="94"/>
      <c r="AX105" s="94"/>
      <c r="AY105" s="94"/>
      <c r="AZ105" s="94"/>
      <c r="BA105" s="94"/>
      <c r="BB105" s="94"/>
      <c r="BC105" s="94"/>
      <c r="BD105" s="94"/>
      <c r="BE105" s="94"/>
      <c r="BF105" s="94"/>
      <c r="BG105" s="94"/>
      <c r="BH105" s="94"/>
      <c r="BI105" s="94"/>
      <c r="BJ105" s="94"/>
      <c r="BK105" s="94"/>
      <c r="BL105" s="94"/>
      <c r="BM105" s="94"/>
      <c r="BN105" s="94"/>
      <c r="BO105" s="94"/>
      <c r="BP105" s="94"/>
      <c r="BQ105" s="94"/>
      <c r="BR105" s="94"/>
      <c r="BS105" s="94"/>
      <c r="BT105" s="94"/>
      <c r="BU105" s="94"/>
      <c r="BV105" s="94"/>
      <c r="BW105" s="94"/>
      <c r="BX105" s="94"/>
      <c r="BY105" s="94"/>
      <c r="BZ105" s="94"/>
      <c r="CA105" s="94"/>
      <c r="CB105" s="94"/>
      <c r="CC105" s="94"/>
      <c r="CD105" s="94"/>
      <c r="CE105" s="94"/>
      <c r="CF105" s="94"/>
    </row>
  </sheetData>
  <mergeCells count="27">
    <mergeCell ref="CB2:CF2"/>
    <mergeCell ref="CB3:CF3"/>
    <mergeCell ref="BM3:BQ3"/>
    <mergeCell ref="BR3:BV3"/>
    <mergeCell ref="BW3:CA3"/>
    <mergeCell ref="BH3:BL3"/>
    <mergeCell ref="AJ2:AM2"/>
    <mergeCell ref="AN2:AR2"/>
    <mergeCell ref="AS2:AW2"/>
    <mergeCell ref="AX2:BB2"/>
    <mergeCell ref="BC2:BG2"/>
    <mergeCell ref="AJ3:AM3"/>
    <mergeCell ref="AN3:AR3"/>
    <mergeCell ref="AS3:AW3"/>
    <mergeCell ref="AX3:BB3"/>
    <mergeCell ref="BC3:BG3"/>
    <mergeCell ref="L3:O3"/>
    <mergeCell ref="L2:O2"/>
    <mergeCell ref="J3:K3"/>
    <mergeCell ref="AE3:AI3"/>
    <mergeCell ref="AE2:AI2"/>
    <mergeCell ref="Z3:AD3"/>
    <mergeCell ref="U3:Y3"/>
    <mergeCell ref="P3:T3"/>
    <mergeCell ref="P2:T2"/>
    <mergeCell ref="U2:Y2"/>
    <mergeCell ref="Z2:AD2"/>
  </mergeCells>
  <phoneticPr fontId="61" type="noConversion"/>
  <pageMargins left="0.7" right="0.7" top="0.75" bottom="0.75" header="0.3" footer="0.3"/>
  <pageSetup orientation="portrait" horizontalDpi="360" verticalDpi="36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L11"/>
  <sheetViews>
    <sheetView workbookViewId="0">
      <selection activeCell="E22" sqref="E22"/>
    </sheetView>
  </sheetViews>
  <sheetFormatPr defaultRowHeight="15.75" x14ac:dyDescent="0.25"/>
  <cols>
    <col min="2" max="2" width="18.5703125" bestFit="1" customWidth="1"/>
    <col min="3" max="3" width="16.28515625" bestFit="1" customWidth="1"/>
    <col min="4" max="7" width="14" customWidth="1"/>
    <col min="8" max="12" width="13.28515625" bestFit="1" customWidth="1"/>
  </cols>
  <sheetData>
    <row r="2" spans="1:12" x14ac:dyDescent="0.25">
      <c r="A2" s="84" t="s">
        <v>215</v>
      </c>
    </row>
    <row r="3" spans="1:12" ht="16.5" thickBot="1" x14ac:dyDescent="0.3">
      <c r="C3" s="94"/>
      <c r="D3" s="94"/>
      <c r="E3" s="94"/>
      <c r="F3" s="94"/>
      <c r="G3" s="94"/>
      <c r="H3" s="94"/>
      <c r="I3" s="94"/>
      <c r="J3" s="94"/>
      <c r="K3" s="94"/>
      <c r="L3" s="94"/>
    </row>
    <row r="4" spans="1:12" ht="16.5" thickBot="1" x14ac:dyDescent="0.3">
      <c r="B4" s="106" t="s">
        <v>45</v>
      </c>
      <c r="C4" s="110" t="s">
        <v>117</v>
      </c>
      <c r="D4" s="94" t="s">
        <v>222</v>
      </c>
      <c r="E4" s="94" t="s">
        <v>223</v>
      </c>
      <c r="F4" s="94"/>
      <c r="G4" s="94"/>
      <c r="H4" s="94"/>
      <c r="I4" s="94"/>
      <c r="J4" s="94"/>
      <c r="K4" s="94"/>
      <c r="L4" s="94"/>
    </row>
    <row r="5" spans="1:12" x14ac:dyDescent="0.25">
      <c r="B5" s="3" t="s">
        <v>112</v>
      </c>
      <c r="C5" s="101" t="s">
        <v>41</v>
      </c>
      <c r="D5" s="94">
        <v>2700</v>
      </c>
      <c r="E5" s="94">
        <v>5000</v>
      </c>
      <c r="F5" s="94"/>
      <c r="G5" s="94"/>
      <c r="H5" s="94"/>
      <c r="I5" s="94"/>
      <c r="J5" s="94"/>
      <c r="K5" s="94"/>
      <c r="L5" s="94"/>
    </row>
    <row r="6" spans="1:12" x14ac:dyDescent="0.25">
      <c r="B6" s="3" t="s">
        <v>111</v>
      </c>
      <c r="C6" s="99" t="s">
        <v>49</v>
      </c>
      <c r="D6" s="222">
        <v>2700</v>
      </c>
      <c r="E6" s="222">
        <v>6500</v>
      </c>
    </row>
    <row r="7" spans="1:12" x14ac:dyDescent="0.25">
      <c r="B7" s="3" t="s">
        <v>115</v>
      </c>
      <c r="C7" s="100" t="s">
        <v>55</v>
      </c>
      <c r="D7" s="222">
        <v>1800</v>
      </c>
      <c r="E7" s="222">
        <v>3000</v>
      </c>
    </row>
    <row r="8" spans="1:12" x14ac:dyDescent="0.25">
      <c r="B8" s="3" t="s">
        <v>116</v>
      </c>
      <c r="C8" s="109" t="s">
        <v>56</v>
      </c>
      <c r="D8" s="222">
        <v>1800</v>
      </c>
      <c r="E8" s="222">
        <v>4000</v>
      </c>
    </row>
    <row r="9" spans="1:12" x14ac:dyDescent="0.25">
      <c r="B9" s="3" t="s">
        <v>234</v>
      </c>
      <c r="C9" s="319" t="s">
        <v>233</v>
      </c>
      <c r="D9" s="222">
        <v>1800</v>
      </c>
      <c r="E9" s="222">
        <v>4000</v>
      </c>
    </row>
    <row r="10" spans="1:12" x14ac:dyDescent="0.25">
      <c r="B10" s="3" t="s">
        <v>113</v>
      </c>
      <c r="C10" s="319" t="s">
        <v>53</v>
      </c>
      <c r="D10" s="222">
        <v>2700</v>
      </c>
      <c r="E10" s="222">
        <v>5000</v>
      </c>
    </row>
    <row r="11" spans="1:12" x14ac:dyDescent="0.25">
      <c r="B11" s="3" t="s">
        <v>114</v>
      </c>
      <c r="C11" s="109" t="s">
        <v>54</v>
      </c>
      <c r="D11" s="232">
        <v>2700</v>
      </c>
      <c r="E11" s="232">
        <v>6500</v>
      </c>
    </row>
  </sheetData>
  <phoneticPr fontId="61"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N29"/>
  <sheetViews>
    <sheetView topLeftCell="AE1" workbookViewId="0">
      <selection activeCell="AR2" sqref="AR2:AV2"/>
    </sheetView>
  </sheetViews>
  <sheetFormatPr defaultRowHeight="15.75" x14ac:dyDescent="0.25"/>
  <cols>
    <col min="1" max="1" width="10.42578125" bestFit="1" customWidth="1"/>
    <col min="2" max="2" width="26" bestFit="1" customWidth="1"/>
    <col min="3" max="3" width="9.7109375" bestFit="1" customWidth="1"/>
    <col min="8" max="8" width="12" bestFit="1" customWidth="1"/>
    <col min="9" max="9" width="11.7109375" bestFit="1" customWidth="1"/>
    <col min="10" max="10" width="12.5703125" bestFit="1" customWidth="1"/>
    <col min="11" max="11" width="14.7109375" bestFit="1" customWidth="1"/>
    <col min="13" max="13" width="10.85546875" bestFit="1" customWidth="1"/>
    <col min="14" max="14" width="11.42578125" customWidth="1"/>
    <col min="16" max="16" width="10.85546875" bestFit="1" customWidth="1"/>
    <col min="17" max="17" width="24.7109375" bestFit="1" customWidth="1"/>
    <col min="18" max="18" width="11.5703125" bestFit="1" customWidth="1"/>
    <col min="19" max="19" width="9.5703125" bestFit="1" customWidth="1"/>
    <col min="21" max="21" width="11.42578125" bestFit="1" customWidth="1"/>
    <col min="23" max="23" width="10.28515625" bestFit="1" customWidth="1"/>
    <col min="24" max="24" width="6.7109375" customWidth="1"/>
    <col min="25" max="25" width="12.7109375" bestFit="1" customWidth="1"/>
    <col min="26" max="28" width="11.85546875" bestFit="1" customWidth="1"/>
    <col min="29" max="29" width="12" bestFit="1" customWidth="1"/>
    <col min="30" max="30" width="12.140625" bestFit="1" customWidth="1"/>
    <col min="31" max="31" width="12" bestFit="1" customWidth="1"/>
    <col min="32" max="32" width="13.140625" customWidth="1"/>
    <col min="33" max="33" width="11.85546875" bestFit="1" customWidth="1"/>
    <col min="34" max="34" width="16" bestFit="1" customWidth="1"/>
    <col min="43" max="43" width="7" bestFit="1" customWidth="1"/>
    <col min="44" max="44" width="16" bestFit="1" customWidth="1"/>
    <col min="53" max="53" width="7" bestFit="1" customWidth="1"/>
    <col min="54" max="58" width="11.7109375" bestFit="1" customWidth="1"/>
    <col min="59" max="59" width="12" bestFit="1" customWidth="1"/>
    <col min="61" max="62" width="12.85546875" bestFit="1" customWidth="1"/>
  </cols>
  <sheetData>
    <row r="1" spans="1:66" x14ac:dyDescent="0.25">
      <c r="A1" t="s">
        <v>127</v>
      </c>
      <c r="C1" s="2" t="s">
        <v>128</v>
      </c>
      <c r="D1" s="112">
        <f>Simulator!N14</f>
        <v>0</v>
      </c>
      <c r="E1" s="4" t="s">
        <v>3</v>
      </c>
      <c r="F1" s="112">
        <f>Simulator!N15</f>
        <v>150</v>
      </c>
      <c r="G1" t="s">
        <v>5</v>
      </c>
      <c r="H1" s="112">
        <f>Simulator!I8</f>
        <v>25</v>
      </c>
      <c r="J1" t="s">
        <v>220</v>
      </c>
      <c r="K1" s="222">
        <f>IFERROR(INDEX(CCT_CRI[],MATCH(Simulator!I6,CCT_CRI[Nominal CCT+CRI],0),3),"-")</f>
        <v>1800</v>
      </c>
      <c r="M1">
        <v>0.99970633626372252</v>
      </c>
      <c r="N1" s="282">
        <v>0</v>
      </c>
      <c r="O1" s="282">
        <v>-1E-8</v>
      </c>
      <c r="P1" s="282">
        <v>-1.9999999999999999E-6</v>
      </c>
      <c r="Q1" s="282">
        <v>-1.4E-3</v>
      </c>
      <c r="R1" s="282">
        <v>1.0367</v>
      </c>
      <c r="AI1">
        <v>0</v>
      </c>
      <c r="AJ1">
        <v>1.4244471877830408E-9</v>
      </c>
      <c r="AK1">
        <v>-5.0480601923783506E-6</v>
      </c>
      <c r="AL1">
        <v>1.019003778368467E-2</v>
      </c>
      <c r="AM1">
        <v>46.079472750616425</v>
      </c>
      <c r="AN1">
        <v>52.2</v>
      </c>
      <c r="AR1">
        <v>0</v>
      </c>
      <c r="AS1">
        <v>6.8771651465769939E-10</v>
      </c>
      <c r="AT1">
        <v>-2.7951065933583892E-6</v>
      </c>
      <c r="AU1">
        <v>7.910343488081107E-3</v>
      </c>
      <c r="AV1">
        <v>46.37962652641184</v>
      </c>
      <c r="AW1">
        <v>52.4</v>
      </c>
    </row>
    <row r="2" spans="1:66" x14ac:dyDescent="0.25">
      <c r="C2" t="s">
        <v>4</v>
      </c>
      <c r="D2" s="112">
        <f>MROUND(Simulator!N30,10)</f>
        <v>4000</v>
      </c>
      <c r="E2" t="s">
        <v>165</v>
      </c>
      <c r="F2" s="112">
        <f>Simulator!N29</f>
        <v>100</v>
      </c>
      <c r="J2" t="s">
        <v>221</v>
      </c>
      <c r="K2" s="222">
        <f>IFERROR(INDEX(CCT_CRI[],MATCH(Simulator!I6,CCT_CRI[Nominal CCT+CRI],0),4),"-")</f>
        <v>4000</v>
      </c>
      <c r="M2">
        <f>M1/N8</f>
        <v>0.99970633626372263</v>
      </c>
      <c r="N2">
        <f>N1*$M$1</f>
        <v>0</v>
      </c>
      <c r="O2">
        <f t="shared" ref="O2:R2" si="0">O1*$M$1</f>
        <v>-9.997063362637225E-9</v>
      </c>
      <c r="P2">
        <f t="shared" si="0"/>
        <v>-1.999412672527445E-6</v>
      </c>
      <c r="Q2">
        <f t="shared" si="0"/>
        <v>-1.3995888707692115E-3</v>
      </c>
      <c r="R2">
        <f t="shared" si="0"/>
        <v>1.036395558804601</v>
      </c>
      <c r="AI2" t="e">
        <f>AI1*$AN$2</f>
        <v>#N/A</v>
      </c>
      <c r="AJ2" t="e">
        <f t="shared" ref="AJ2:AM2" si="1">AJ1*$AN$2</f>
        <v>#N/A</v>
      </c>
      <c r="AK2" t="e">
        <f t="shared" si="1"/>
        <v>#N/A</v>
      </c>
      <c r="AL2" t="e">
        <f t="shared" si="1"/>
        <v>#N/A</v>
      </c>
      <c r="AM2" t="e">
        <f t="shared" si="1"/>
        <v>#N/A</v>
      </c>
      <c r="AN2" t="e">
        <f>AH11/AN1</f>
        <v>#N/A</v>
      </c>
      <c r="AR2" t="e">
        <f>AR1*$AW$2</f>
        <v>#N/A</v>
      </c>
      <c r="AS2" t="e">
        <f t="shared" ref="AS2:AV2" si="2">AS1*$AW$2</f>
        <v>#N/A</v>
      </c>
      <c r="AT2" t="e">
        <f t="shared" si="2"/>
        <v>#N/A</v>
      </c>
      <c r="AU2" t="e">
        <f t="shared" si="2"/>
        <v>#N/A</v>
      </c>
      <c r="AV2" t="e">
        <f t="shared" si="2"/>
        <v>#N/A</v>
      </c>
      <c r="AW2" t="e">
        <f>AR12/AW1</f>
        <v>#N/A</v>
      </c>
    </row>
    <row r="3" spans="1:66" ht="16.5" thickBot="1" x14ac:dyDescent="0.3">
      <c r="B3" t="s">
        <v>163</v>
      </c>
      <c r="Q3" t="s">
        <v>97</v>
      </c>
    </row>
    <row r="4" spans="1:66" ht="16.5" thickBot="1" x14ac:dyDescent="0.3">
      <c r="B4" s="115" t="s">
        <v>126</v>
      </c>
      <c r="C4" s="116" t="s">
        <v>20</v>
      </c>
      <c r="D4" s="116" t="s">
        <v>6</v>
      </c>
      <c r="E4" s="116" t="s">
        <v>7</v>
      </c>
      <c r="F4" s="116" t="s">
        <v>36</v>
      </c>
      <c r="G4" s="116" t="s">
        <v>37</v>
      </c>
      <c r="H4" s="117" t="s">
        <v>129</v>
      </c>
      <c r="I4" s="122" t="s">
        <v>19</v>
      </c>
      <c r="J4" s="119" t="s">
        <v>1</v>
      </c>
      <c r="K4" s="119" t="s">
        <v>2</v>
      </c>
      <c r="L4" s="119" t="s">
        <v>39</v>
      </c>
      <c r="M4" s="119" t="s">
        <v>40</v>
      </c>
      <c r="N4" s="123" t="s">
        <v>135</v>
      </c>
      <c r="O4" s="124" t="s">
        <v>136</v>
      </c>
      <c r="Q4" s="115" t="s">
        <v>137</v>
      </c>
      <c r="R4" s="116" t="s">
        <v>139</v>
      </c>
      <c r="S4" s="116" t="s">
        <v>38</v>
      </c>
      <c r="T4" s="116" t="s">
        <v>140</v>
      </c>
      <c r="U4" s="116" t="s">
        <v>141</v>
      </c>
      <c r="V4" s="116" t="s">
        <v>142</v>
      </c>
      <c r="W4" s="117" t="s">
        <v>138</v>
      </c>
      <c r="X4" s="122" t="s">
        <v>19</v>
      </c>
      <c r="Y4" s="119" t="s">
        <v>1</v>
      </c>
      <c r="Z4" s="119" t="s">
        <v>2</v>
      </c>
      <c r="AA4" s="119" t="s">
        <v>39</v>
      </c>
      <c r="AB4" s="119" t="s">
        <v>40</v>
      </c>
      <c r="AC4" s="123" t="s">
        <v>162</v>
      </c>
      <c r="AD4" s="124" t="s">
        <v>161</v>
      </c>
      <c r="AE4" s="124" t="s">
        <v>146</v>
      </c>
      <c r="AF4" s="323" t="s">
        <v>160</v>
      </c>
      <c r="AH4" s="122" t="s">
        <v>150</v>
      </c>
      <c r="AI4" s="118" t="s">
        <v>31</v>
      </c>
      <c r="AJ4" s="119" t="s">
        <v>32</v>
      </c>
      <c r="AK4" s="119" t="s">
        <v>33</v>
      </c>
      <c r="AL4" s="119" t="s">
        <v>34</v>
      </c>
      <c r="AM4" s="120" t="s">
        <v>35</v>
      </c>
      <c r="AN4" s="118" t="s">
        <v>151</v>
      </c>
      <c r="AO4" s="128" t="s">
        <v>152</v>
      </c>
      <c r="AP4" s="120" t="s">
        <v>34</v>
      </c>
      <c r="AR4" s="122" t="s">
        <v>150</v>
      </c>
      <c r="AS4" s="118" t="s">
        <v>155</v>
      </c>
      <c r="AT4" s="119" t="s">
        <v>156</v>
      </c>
      <c r="AU4" s="119" t="s">
        <v>157</v>
      </c>
      <c r="AV4" s="119" t="s">
        <v>158</v>
      </c>
      <c r="AW4" s="120" t="s">
        <v>159</v>
      </c>
      <c r="AX4" s="118" t="s">
        <v>151</v>
      </c>
      <c r="AY4" s="128" t="s">
        <v>152</v>
      </c>
      <c r="AZ4" s="120" t="s">
        <v>34</v>
      </c>
      <c r="BB4" s="141" t="s">
        <v>68</v>
      </c>
      <c r="BC4" s="142" t="s">
        <v>69</v>
      </c>
      <c r="BD4" s="142" t="s">
        <v>70</v>
      </c>
      <c r="BE4" s="142" t="s">
        <v>71</v>
      </c>
      <c r="BF4" s="142" t="s">
        <v>72</v>
      </c>
      <c r="BG4" s="120" t="s">
        <v>4</v>
      </c>
      <c r="BI4" s="141" t="s">
        <v>227</v>
      </c>
      <c r="BJ4" s="142" t="s">
        <v>228</v>
      </c>
      <c r="BK4" s="142" t="s">
        <v>229</v>
      </c>
      <c r="BL4" s="142" t="s">
        <v>230</v>
      </c>
      <c r="BM4" s="142" t="s">
        <v>231</v>
      </c>
      <c r="BN4" s="120" t="s">
        <v>224</v>
      </c>
    </row>
    <row r="5" spans="1:66" x14ac:dyDescent="0.25">
      <c r="A5" t="s">
        <v>130</v>
      </c>
      <c r="B5" s="113">
        <f>INDEX(Master_Table[],MATCH(Simulator!E18,Master_Table[P/N],0),COLUMN(Master_Table[Typical Lumens]))</f>
        <v>350</v>
      </c>
      <c r="C5" s="121">
        <f>INDEX(Master_Table[],MATCH(Simulator!$E18,Master_Table[P/N],0),COLUMN(Master_Table[I^4]))</f>
        <v>0</v>
      </c>
      <c r="D5" s="121">
        <f>INDEX(Master_Table[],MATCH(Simulator!$E18,Master_Table[P/N],0),COLUMN(Master_Table[I^3]))</f>
        <v>1.7909514952295366E-8</v>
      </c>
      <c r="E5" s="121">
        <f>INDEX(Master_Table[],MATCH(Simulator!$E18,Master_Table[P/N],0),COLUMN(Master_Table[I^2]))</f>
        <v>-1.326892436424506E-5</v>
      </c>
      <c r="F5" s="121">
        <f>INDEX(Master_Table[],MATCH(Simulator!$E18,Master_Table[P/N],0),COLUMN(Master_Table[I]))</f>
        <v>8.2540412348767796E-3</v>
      </c>
      <c r="G5" s="121">
        <f>INDEX(Master_Table[],MATCH(Simulator!$E18,Master_Table[P/N],0),COLUMN(Master_Table[I0]))</f>
        <v>0</v>
      </c>
      <c r="H5" s="212">
        <f>(C5*D$1^4+D5*D$1^3+E5*D$1^2+F5*D$1^1+G5)</f>
        <v>0</v>
      </c>
      <c r="I5" s="87">
        <f>INDEX(Master_Table[],MATCH(Simulator!$E18,Master_Table[P/N],0),COLUMN(Master_Table[T^4]))</f>
        <v>0</v>
      </c>
      <c r="J5" s="211">
        <f>INDEX(Master_Table[],MATCH(Simulator!$E18,Master_Table[P/N],0),COLUMN(Master_Table[T^3]))</f>
        <v>2.9099303908388992E-8</v>
      </c>
      <c r="K5" s="211">
        <f>INDEX(Master_Table[],MATCH(Simulator!$E18,Master_Table[P/N],0),COLUMN(Master_Table[T^2]))</f>
        <v>-1.0740816337702576E-5</v>
      </c>
      <c r="L5" s="211">
        <f>INDEX(Master_Table[],MATCH(Simulator!$E18,Master_Table[P/N],0),COLUMN(Master_Table[T]))</f>
        <v>-1.1313392940234344E-3</v>
      </c>
      <c r="M5" s="211">
        <f>INDEX(Master_Table[],MATCH(Simulator!$E18,Master_Table[P/N],0),COLUMN(Master_Table[T0]))</f>
        <v>1.0345418159380813</v>
      </c>
      <c r="N5" s="328">
        <f>(I5*H$1^4+J5*H$1^3+K5*H$1^2+L5*H$1^1+M5)</f>
        <v>0.99999999999999989</v>
      </c>
      <c r="O5" s="125">
        <f>N5*H5*B5</f>
        <v>0</v>
      </c>
      <c r="Q5" s="113">
        <f>INDEX(Master_Table[],MATCH(Simulator!E18,Master_Table[P/N],0),COLUMN(Master_Table[Typical Lumens2]))</f>
        <v>580</v>
      </c>
      <c r="R5" s="121">
        <f>INDEX(Master_Table[],MATCH(Simulator!$E18,Master_Table[P/N],0),COLUMN(Master_Table[I^42]))</f>
        <v>0</v>
      </c>
      <c r="S5" s="121">
        <f>INDEX(Master_Table[],MATCH(Simulator!$E18,Master_Table[P/N],0),COLUMN(Master_Table[I^32]))</f>
        <v>8.0542022719487425E-9</v>
      </c>
      <c r="T5" s="121">
        <f>INDEX(Master_Table[],MATCH(Simulator!$E18,Master_Table[P/N],0),COLUMN(Master_Table[I^22]))</f>
        <v>-9.7598400709065074E-6</v>
      </c>
      <c r="U5" s="121">
        <f>INDEX(Master_Table[],MATCH(Simulator!$E18,Master_Table[P/N],0),COLUMN(Master_Table[I^12]))</f>
        <v>7.9494231261837967E-3</v>
      </c>
      <c r="V5" s="121">
        <f>INDEX(Master_Table[],MATCH(Simulator!$E18,Master_Table[P/N],0),COLUMN(Master_Table[I^02]))</f>
        <v>0</v>
      </c>
      <c r="W5" s="105">
        <f>(R5*F$1^4+S5*F$1^3+T5*F$1^2+U5*F$1^1+V5)</f>
        <v>1</v>
      </c>
      <c r="X5" s="87">
        <f>INDEX(Master_Table[],MATCH(Simulator!$E18,Master_Table[P/N],0),COLUMN(Master_Table[T^42]))</f>
        <v>0</v>
      </c>
      <c r="Y5" s="83">
        <f>INDEX(Master_Table[],MATCH(Simulator!$E18,Master_Table[P/N],0),COLUMN(Master_Table[T^32]))</f>
        <v>3.6114472716527861E-8</v>
      </c>
      <c r="Z5" s="83">
        <f>INDEX(Master_Table[],MATCH(Simulator!$E18,Master_Table[P/N],0),COLUMN(Master_Table[T^22]))</f>
        <v>-1.1205971485953659E-5</v>
      </c>
      <c r="AA5" s="83">
        <f>INDEX(Master_Table[],MATCH(Simulator!$E18,Master_Table[P/N],0),COLUMN(Master_Table[T^12]))</f>
        <v>-1.3176780412169637E-3</v>
      </c>
      <c r="AB5" s="83">
        <f>INDEX(Master_Table[],MATCH(Simulator!$E18,Master_Table[P/N],0),COLUMN(Master_Table[T^02]))</f>
        <v>1.0393813945729493</v>
      </c>
      <c r="AC5" s="132">
        <f>(X5*H$1^4+Y5*H$1^3+Z5*H$1^2+AA5*H$1^1+AB5)</f>
        <v>0.99999999999999989</v>
      </c>
      <c r="AD5" s="126">
        <f>AC5*W5*Q5</f>
        <v>579.99999999999989</v>
      </c>
      <c r="AE5" s="126">
        <f>O5+AD5</f>
        <v>579.99999999999989</v>
      </c>
      <c r="AF5" s="313">
        <f>O5/(AE5)</f>
        <v>0</v>
      </c>
      <c r="AG5" s="312"/>
      <c r="AH5" s="87">
        <f>INDEX(Master_Table[],MATCH(Simulator!E18,Master_Table[P/N],0),COLUMN(Master_Table[Typical Voltage]))</f>
        <v>37</v>
      </c>
      <c r="AI5" s="87">
        <f>INDEX(Master_Table[],MATCH(Simulator!$E18,Master_Table[P/N],0),COLUMN(Master_Table[V^4]))</f>
        <v>0</v>
      </c>
      <c r="AJ5" s="83">
        <f>INDEX(Master_Table[],MATCH(Simulator!$E18,Master_Table[P/N],0),COLUMN(Master_Table[V^3]))</f>
        <v>3.4966431835303684E-7</v>
      </c>
      <c r="AK5" s="83">
        <f>INDEX(Master_Table[],MATCH(Simulator!$E18,Master_Table[P/N],0),COLUMN(Master_Table[V^2]))</f>
        <v>-1.5695071931731767E-4</v>
      </c>
      <c r="AL5" s="83">
        <f>INDEX(Master_Table[],MATCH(Simulator!$E18,Master_Table[P/N],0),COLUMN(Master_Table[V]))</f>
        <v>4.9832085208311359E-2</v>
      </c>
      <c r="AM5" s="88">
        <f>INDEX(Master_Table[],MATCH(Simulator!$E18,Master_Table[P/N],0),COLUMN(Master_Table[V0]))</f>
        <v>31.87646132895145</v>
      </c>
      <c r="AN5" s="85">
        <f>AI5*D$1^4+AJ5*D$1^3+AK5*D$1^2+AL5*D$1^1+AM5</f>
        <v>31.87646132895145</v>
      </c>
      <c r="AO5" s="127">
        <f>(H$1-25)*INDEX(Master_Table[],MATCH(Simulator!$E18,Master_Table[P/N],0),COLUMN(Master_Table[dV/dT (mV/C)]))/1000</f>
        <v>0</v>
      </c>
      <c r="AP5" s="127">
        <f>AN5+AO5</f>
        <v>31.87646132895145</v>
      </c>
      <c r="AR5" s="87">
        <f>INDEX(Master_Table[],MATCH(Simulator!E18,Master_Table[P/N],0),COLUMN(Master_Table[Typical Voltage2]))</f>
        <v>37</v>
      </c>
      <c r="AS5" s="87">
        <f>INDEX(Master_Table[],MATCH(Simulator!$E18,Master_Table[P/N],0),COLUMN(Master_Table[V^42]))</f>
        <v>0</v>
      </c>
      <c r="AT5" s="83">
        <f>INDEX(Master_Table[],MATCH(Simulator!$E18,Master_Table[P/N],0),COLUMN(Master_Table[V^32]))</f>
        <v>3.4966431835303684E-7</v>
      </c>
      <c r="AU5" s="83">
        <f>INDEX(Master_Table[],MATCH(Simulator!$E18,Master_Table[P/N],0),COLUMN(Master_Table[V^22]))</f>
        <v>-1.5695071931731767E-4</v>
      </c>
      <c r="AV5" s="83">
        <f>INDEX(Master_Table[],MATCH(Simulator!$E18,Master_Table[P/N],0),COLUMN(Master_Table[V^12]))</f>
        <v>4.9832085208311359E-2</v>
      </c>
      <c r="AW5" s="88">
        <f>INDEX(Master_Table[],MATCH(Simulator!$E18,Master_Table[P/N],0),COLUMN(Master_Table[V^02]))</f>
        <v>31.87646132895145</v>
      </c>
      <c r="AX5" s="129">
        <f>AS5*F$1^4+AT5*F$1^3+AU5*F$1^2+AV5*F$1^1+AW5</f>
        <v>37.000000000000007</v>
      </c>
      <c r="AY5" s="214">
        <f>(H$1-25)*INDEX(Master_Table[],MATCH(Simulator!$E18,Master_Table[P/N],0),COLUMN(Master_Table[dV/dT (mV/C)2]))/1000</f>
        <v>0</v>
      </c>
      <c r="AZ5" s="214">
        <f>AX5+AY5</f>
        <v>37.000000000000007</v>
      </c>
      <c r="BB5" s="87">
        <f>INDEX(Master_Table[],MATCH(Simulator!$E18,Master_Table[P/N],0),COLUMN(Master_Table[LR(WW)^4]))</f>
        <v>0</v>
      </c>
      <c r="BC5" s="83">
        <f>INDEX(Master_Table[],MATCH(Simulator!$E18,Master_Table[P/N],0),COLUMN(Master_Table[LR(WW)^3]))</f>
        <v>277.33</v>
      </c>
      <c r="BD5" s="83">
        <f>INDEX(Master_Table[],MATCH(Simulator!$E18,Master_Table[P/N],0),COLUMN(Master_Table[LR(WW)^2]))</f>
        <v>-962.29</v>
      </c>
      <c r="BE5" s="83">
        <f>INDEX(Master_Table[],MATCH(Simulator!$E18,Master_Table[P/N],0),COLUMN(Master_Table[LR(WW)^1]))</f>
        <v>-1515</v>
      </c>
      <c r="BF5" s="83">
        <f>INDEX(Master_Table[],MATCH(Simulator!$E18,Master_Table[P/N],0),COLUMN(Master_Table[LR(WW)^0]))</f>
        <v>4000.9</v>
      </c>
      <c r="BG5" s="114">
        <f>BB5*AF5^4+BC5*AF5^3+BD5*AF5^2+BE5*AF5^1+BF5</f>
        <v>4000.9</v>
      </c>
      <c r="BI5" s="87">
        <f>INDEX(Master_Table[],MATCH(Simulator!$E18,Master_Table[P/N],0),COLUMN(Master_Table[LR(CW)^4]))</f>
        <v>0</v>
      </c>
      <c r="BJ5" s="231">
        <f>INDEX(Master_Table[],MATCH(Simulator!$E18,Master_Table[P/N],0),COLUMN(Master_Table[LR(CW)^3]))</f>
        <v>-2.7199999999999998E-2</v>
      </c>
      <c r="BK5" s="231">
        <f>INDEX(Master_Table[],MATCH(Simulator!$E18,Master_Table[P/N],0),COLUMN(Master_Table[LR(CW)^2]))</f>
        <v>37.713999999999999</v>
      </c>
      <c r="BL5" s="231">
        <f>INDEX(Master_Table[],MATCH(Simulator!$E18,Master_Table[P/N],0),COLUMN(Master_Table[LR(CW)^1]))</f>
        <v>2435.3000000000002</v>
      </c>
      <c r="BM5" s="231">
        <f>INDEX(Master_Table[],MATCH(Simulator!$E18,Master_Table[P/N],0),COLUMN(Master_Table[LR(WW)^0]))</f>
        <v>4000.9</v>
      </c>
      <c r="BN5" s="114">
        <f>MROUND(BI5*AG5^4+BJ5*AG5^3+BK5*AG5^2+BL5*AG5^1+BM5,10)</f>
        <v>4000</v>
      </c>
    </row>
    <row r="6" spans="1:66" x14ac:dyDescent="0.25">
      <c r="A6" t="s">
        <v>179</v>
      </c>
      <c r="B6" s="87">
        <f>INDEX(Master_Table[],MATCH(Simulator!E19,Master_Table[P/N],0),COLUMN(Master_Table[Typical Lumens]))</f>
        <v>660</v>
      </c>
      <c r="C6" s="5">
        <f>INDEX(Master_Table[],MATCH(Simulator!$E19,Master_Table[P/N],0),COLUMN(Master_Table[I^4]))</f>
        <v>0</v>
      </c>
      <c r="D6" s="5">
        <f>INDEX(Master_Table[],MATCH(Simulator!$E19,Master_Table[P/N],0),COLUMN(Master_Table[I^3]))</f>
        <v>2.1690977096069365E-10</v>
      </c>
      <c r="E6" s="5">
        <f>INDEX(Master_Table[],MATCH(Simulator!$E19,Master_Table[P/N],0),COLUMN(Master_Table[I^2]))</f>
        <v>-6.727900721730406E-7</v>
      </c>
      <c r="F6" s="5">
        <f>INDEX(Master_Table[],MATCH(Simulator!$E19,Master_Table[P/N],0),COLUMN(Master_Table[I]))</f>
        <v>2.2821675933463472E-3</v>
      </c>
      <c r="G6" s="5">
        <f>INDEX(Master_Table[],MATCH(Simulator!$E19,Master_Table[P/N],0),COLUMN(Master_Table[I0]))</f>
        <v>0</v>
      </c>
      <c r="H6" s="88">
        <f>(C6*D$1^4+D6*D$1^3+E6*D$1^2+F6*D$1^1+G6)</f>
        <v>0</v>
      </c>
      <c r="I6" s="87">
        <f>INDEX(Master_Table[],MATCH(Simulator!$E19,Master_Table[P/N],0),COLUMN(Master_Table[T^4]))</f>
        <v>0</v>
      </c>
      <c r="J6" s="211">
        <f>INDEX(Master_Table[],MATCH(Simulator!$E19,Master_Table[P/N],0),COLUMN(Master_Table[T^3]))</f>
        <v>1.6806700609483166E-8</v>
      </c>
      <c r="K6" s="211">
        <f>INDEX(Master_Table[],MATCH(Simulator!$E19,Master_Table[P/N],0),COLUMN(Master_Table[T^2]))</f>
        <v>-7.93129181013492E-6</v>
      </c>
      <c r="L6" s="211">
        <f>INDEX(Master_Table[],MATCH(Simulator!$E19,Master_Table[P/N],0),COLUMN(Master_Table[T]))</f>
        <v>-1.5397616133092889E-3</v>
      </c>
      <c r="M6" s="211">
        <f>INDEX(Master_Table[],MATCH(Simulator!$E19,Master_Table[P/N],0),COLUMN(Master_Table[T0]))</f>
        <v>1.0431884930170432</v>
      </c>
      <c r="N6" s="328">
        <f>(I6*H$1^4+J6*H$1^3+K6*H$1^2+L6*H$1^1+M6)</f>
        <v>0.99999999999999978</v>
      </c>
      <c r="O6" s="125">
        <f>N6*H6*B6</f>
        <v>0</v>
      </c>
      <c r="Q6" s="87">
        <f>INDEX(Master_Table[],MATCH(Simulator!E19,Master_Table[P/N],0),COLUMN(Master_Table[Typical Lumens2]))</f>
        <v>1060</v>
      </c>
      <c r="R6" s="5">
        <f>INDEX(Master_Table[],MATCH(Simulator!$E19,Master_Table[P/N],0),COLUMN(Master_Table[I^42]))</f>
        <v>0</v>
      </c>
      <c r="S6" s="5">
        <f>INDEX(Master_Table[],MATCH(Simulator!$E19,Master_Table[P/N],0),COLUMN(Master_Table[I^32]))</f>
        <v>2.3683998976869951E-10</v>
      </c>
      <c r="T6" s="5">
        <f>INDEX(Master_Table[],MATCH(Simulator!$E19,Master_Table[P/N],0),COLUMN(Master_Table[I^22]))</f>
        <v>-7.2270008891487307E-7</v>
      </c>
      <c r="U6" s="5">
        <f>INDEX(Master_Table[],MATCH(Simulator!$E19,Master_Table[P/N],0),COLUMN(Master_Table[I^12]))</f>
        <v>2.3021400470152613E-3</v>
      </c>
      <c r="V6" s="5">
        <f>INDEX(Master_Table[],MATCH(Simulator!$E19,Master_Table[P/N],0),COLUMN(Master_Table[I^02]))</f>
        <v>0</v>
      </c>
      <c r="W6" s="86">
        <f>(R6*F$1^4+S6*F$1^3+T6*F$1^2+U6*F$1^1+V6)</f>
        <v>0.32985959001717391</v>
      </c>
      <c r="X6" s="87">
        <f>INDEX(Master_Table[],MATCH(Simulator!$E19,Master_Table[P/N],0),COLUMN(Master_Table[T^42]))</f>
        <v>0</v>
      </c>
      <c r="Y6" s="145">
        <f>INDEX(Master_Table[],MATCH(Simulator!$E19,Master_Table[P/N],0),COLUMN(Master_Table[T^32]))</f>
        <v>2.3090844101982709E-8</v>
      </c>
      <c r="Z6" s="145">
        <f>INDEX(Master_Table[],MATCH(Simulator!$E19,Master_Table[P/N],0),COLUMN(Master_Table[T^22]))</f>
        <v>-7.4552957393842314E-6</v>
      </c>
      <c r="AA6" s="145">
        <f>INDEX(Master_Table[],MATCH(Simulator!$E19,Master_Table[P/N],0),COLUMN(Master_Table[T^12]))</f>
        <v>-2.0106740455534161E-3</v>
      </c>
      <c r="AB6" s="145">
        <f>INDEX(Master_Table[],MATCH(Simulator!$E19,Master_Table[P/N],0),COLUMN(Master_Table[T^02]))</f>
        <v>1.0545656165368571</v>
      </c>
      <c r="AC6" s="132">
        <f>(X6*H$1^4+Y6*H$1^3+Z6*H$1^2+AA6*H$1^1+AB6)</f>
        <v>1</v>
      </c>
      <c r="AD6" s="126">
        <f>AC6*W6*Q6</f>
        <v>349.65116541820436</v>
      </c>
      <c r="AE6" s="126">
        <f>O6+AD6</f>
        <v>349.65116541820436</v>
      </c>
      <c r="AF6" s="314">
        <f>O6/(AE6)</f>
        <v>0</v>
      </c>
      <c r="AG6" s="312"/>
      <c r="AH6" s="87">
        <f>INDEX(Master_Table[],MATCH(Simulator!E19,Master_Table[P/N],0),COLUMN(Master_Table[Typical Voltage]))</f>
        <v>17.600000000000001</v>
      </c>
      <c r="AI6" s="87">
        <f>INDEX(Master_Table[],MATCH(Simulator!$E19,Master_Table[P/N],0),COLUMN(Master_Table[V^4]))</f>
        <v>0</v>
      </c>
      <c r="AJ6" s="145">
        <f>INDEX(Master_Table[],MATCH(Simulator!$E19,Master_Table[P/N],0),COLUMN(Master_Table[V^3]))</f>
        <v>3.2593806367612429E-9</v>
      </c>
      <c r="AK6" s="145">
        <f>INDEX(Master_Table[],MATCH(Simulator!$E19,Master_Table[P/N],0),COLUMN(Master_Table[V^2]))</f>
        <v>-5.358284875250346E-6</v>
      </c>
      <c r="AL6" s="145">
        <f>INDEX(Master_Table[],MATCH(Simulator!$E19,Master_Table[P/N],0),COLUMN(Master_Table[V]))</f>
        <v>5.7013143736789826E-3</v>
      </c>
      <c r="AM6" s="88">
        <f>INDEX(Master_Table[],MATCH(Simulator!$E19,Master_Table[P/N],0),COLUMN(Master_Table[V0]))</f>
        <v>15.681491452377943</v>
      </c>
      <c r="AN6" s="85">
        <f t="shared" ref="AN6:AN12" si="3">AI6*D$1^4+AJ6*D$1^3+AK6*D$1^2+AL6*D$1^1+AM6</f>
        <v>15.681491452377943</v>
      </c>
      <c r="AO6" s="127">
        <f>(H$1-25)*INDEX(Master_Table[],MATCH(Simulator!$E19,Master_Table[P/N],0),COLUMN(Master_Table[dV/dT (mV/C)]))/1000</f>
        <v>0</v>
      </c>
      <c r="AP6" s="127">
        <f>AN6+AO6</f>
        <v>15.681491452377943</v>
      </c>
      <c r="AR6" s="87">
        <f>INDEX(Master_Table[],MATCH(Simulator!E19,Master_Table[P/N],0),COLUMN(Master_Table[Typical Voltage2]))</f>
        <v>18.2</v>
      </c>
      <c r="AS6" s="87">
        <f>INDEX(Master_Table[],MATCH(Simulator!$E19,Master_Table[P/N],0),COLUMN(Master_Table[V^42]))</f>
        <v>0</v>
      </c>
      <c r="AT6" s="145">
        <f>INDEX(Master_Table[],MATCH(Simulator!$E19,Master_Table[P/N],0),COLUMN(Master_Table[V^32]))</f>
        <v>3.3704958857417395E-9</v>
      </c>
      <c r="AU6" s="145">
        <f>INDEX(Master_Table[],MATCH(Simulator!$E19,Master_Table[P/N],0),COLUMN(Master_Table[V^22]))</f>
        <v>-5.5409536778156982E-6</v>
      </c>
      <c r="AV6" s="145">
        <f>INDEX(Master_Table[],MATCH(Simulator!$E19,Master_Table[P/N],0),COLUMN(Master_Table[V^12]))</f>
        <v>5.8956773636907661E-3</v>
      </c>
      <c r="AW6" s="88">
        <f>INDEX(Master_Table[],MATCH(Simulator!$E19,Master_Table[P/N],0),COLUMN(Master_Table[V^02]))</f>
        <v>16.216087751890825</v>
      </c>
      <c r="AX6" s="129">
        <f>AS6*F$1^4+AT6*F$1^3+AU6*F$1^2+AV6*F$1^1+AW6</f>
        <v>16.987143322307965</v>
      </c>
      <c r="AY6" s="214">
        <f>(H$1-25)*INDEX(Master_Table[],MATCH(Simulator!$E19,Master_Table[P/N],0),COLUMN(Master_Table[dV/dT (mV/C)2]))/1000</f>
        <v>0</v>
      </c>
      <c r="AZ6" s="214">
        <f>AX6+AY6</f>
        <v>16.987143322307965</v>
      </c>
      <c r="BB6" s="87">
        <f>INDEX(Master_Table[],MATCH(Simulator!$E19,Master_Table[P/N],0),COLUMN(Master_Table[LR(WW)^4]))</f>
        <v>0</v>
      </c>
      <c r="BC6" s="145">
        <f>INDEX(Master_Table[],MATCH(Simulator!$E19,Master_Table[P/N],0),COLUMN(Master_Table[LR(WW)^3]))</f>
        <v>277.33</v>
      </c>
      <c r="BD6" s="145">
        <f>INDEX(Master_Table[],MATCH(Simulator!$E19,Master_Table[P/N],0),COLUMN(Master_Table[LR(WW)^2]))</f>
        <v>-962.29</v>
      </c>
      <c r="BE6" s="145">
        <f>INDEX(Master_Table[],MATCH(Simulator!$E19,Master_Table[P/N],0),COLUMN(Master_Table[LR(WW)^1]))</f>
        <v>-1515</v>
      </c>
      <c r="BF6" s="145">
        <f>INDEX(Master_Table[],MATCH(Simulator!$E19,Master_Table[P/N],0),COLUMN(Master_Table[LR(WW)^0]))</f>
        <v>4000.9</v>
      </c>
      <c r="BG6" s="114">
        <f t="shared" ref="BG6:BG12" si="4">BB6*AF6^4+BC6*AF6^3+BD6*AF6^2+BE6*AF6^1+BF6</f>
        <v>4000.9</v>
      </c>
      <c r="BI6" s="87">
        <f>INDEX(Master_Table[],MATCH(Simulator!$E19,Master_Table[P/N],0),COLUMN(Master_Table[LR(WW)^4]))</f>
        <v>0</v>
      </c>
      <c r="BJ6" s="231">
        <f>INDEX(Master_Table[],MATCH(Simulator!$E19,Master_Table[P/N],0),COLUMN(Master_Table[LR(WW)^3]))</f>
        <v>277.33</v>
      </c>
      <c r="BK6" s="231">
        <f>INDEX(Master_Table[],MATCH(Simulator!$E19,Master_Table[P/N],0),COLUMN(Master_Table[LR(WW)^2]))</f>
        <v>-962.29</v>
      </c>
      <c r="BL6" s="231">
        <f>INDEX(Master_Table[],MATCH(Simulator!$E19,Master_Table[P/N],0),COLUMN(Master_Table[LR(WW)^1]))</f>
        <v>-1515</v>
      </c>
      <c r="BM6" s="231">
        <f>INDEX(Master_Table[],MATCH(Simulator!$E19,Master_Table[P/N],0),COLUMN(Master_Table[LR(WW)^0]))</f>
        <v>4000.9</v>
      </c>
      <c r="BN6" s="114">
        <f t="shared" ref="BN6:BN12" si="5">MROUND(BI6*AG6^4+BJ6*AG6^3+BK6*AG6^2+BL6*AG6^1+BM6,10)</f>
        <v>4000</v>
      </c>
    </row>
    <row r="7" spans="1:66" x14ac:dyDescent="0.25">
      <c r="A7" t="s">
        <v>180</v>
      </c>
      <c r="B7" s="87">
        <f>INDEX(Master_Table[],MATCH(Simulator!E20,Master_Table[P/N],0),COLUMN(Master_Table[Typical Lumens]))</f>
        <v>700</v>
      </c>
      <c r="C7" s="5">
        <f>INDEX(Master_Table[],MATCH(Simulator!$E20,Master_Table[P/N],0),COLUMN(Master_Table[I^4]))</f>
        <v>0</v>
      </c>
      <c r="D7" s="5">
        <f>INDEX(Master_Table[],MATCH(Simulator!$E20,Master_Table[P/N],0),COLUMN(Master_Table[I^3]))</f>
        <v>1.3018167003323026E-9</v>
      </c>
      <c r="E7" s="5">
        <f>INDEX(Master_Table[],MATCH(Simulator!$E20,Master_Table[P/N],0),COLUMN(Master_Table[I^2]))</f>
        <v>-2.4563443007110993E-6</v>
      </c>
      <c r="F7" s="5">
        <f>INDEX(Master_Table[],MATCH(Simulator!$E20,Master_Table[P/N],0),COLUMN(Master_Table[I]))</f>
        <v>4.5327225314070064E-3</v>
      </c>
      <c r="G7" s="5">
        <f>INDEX(Master_Table[],MATCH(Simulator!$E20,Master_Table[P/N],0),COLUMN(Master_Table[I0]))</f>
        <v>0</v>
      </c>
      <c r="H7" s="88">
        <f t="shared" ref="H7:H12" si="6">(C7*D$1^4+D7*D$1^3+E7*D$1^2+F7*D$1^1+G7)</f>
        <v>0</v>
      </c>
      <c r="I7" s="87">
        <f>INDEX(Master_Table[],MATCH(Simulator!$E20,Master_Table[P/N],0),COLUMN(Master_Table[T^4]))</f>
        <v>0</v>
      </c>
      <c r="J7" s="211">
        <f>INDEX(Master_Table[],MATCH(Simulator!$E20,Master_Table[P/N],0),COLUMN(Master_Table[T^3]))</f>
        <v>-9.997063362637225E-9</v>
      </c>
      <c r="K7" s="211">
        <f>INDEX(Master_Table[],MATCH(Simulator!$E20,Master_Table[P/N],0),COLUMN(Master_Table[T^2]))</f>
        <v>-1.999412672527445E-6</v>
      </c>
      <c r="L7" s="211">
        <f>INDEX(Master_Table[],MATCH(Simulator!$E20,Master_Table[P/N],0),COLUMN(Master_Table[T]))</f>
        <v>-1.3995888707692115E-3</v>
      </c>
      <c r="M7" s="211">
        <f>INDEX(Master_Table[],MATCH(Simulator!$E20,Master_Table[P/N],0),COLUMN(Master_Table[T0]))</f>
        <v>1.036395558804601</v>
      </c>
      <c r="N7" s="328">
        <f t="shared" ref="N7:N12" si="7">(I7*H$1^4+J7*H$1^3+K7*H$1^2+L7*H$1^1+M7)</f>
        <v>0.99999999999999989</v>
      </c>
      <c r="O7" s="125">
        <f t="shared" ref="O7:O12" si="8">N7*H7*B7</f>
        <v>0</v>
      </c>
      <c r="Q7" s="87">
        <f>INDEX(Master_Table[],MATCH(Simulator!E20,Master_Table[P/N],0),COLUMN(Master_Table[Typical Lumens2]))</f>
        <v>1100</v>
      </c>
      <c r="R7" s="5">
        <f>INDEX(Master_Table[],MATCH(Simulator!$E20,Master_Table[P/N],0),COLUMN(Master_Table[I^42]))</f>
        <v>0</v>
      </c>
      <c r="S7" s="5">
        <f>INDEX(Master_Table[],MATCH(Simulator!$E20,Master_Table[P/N],0),COLUMN(Master_Table[I^32]))</f>
        <v>2.1465395519388609E-10</v>
      </c>
      <c r="T7" s="5">
        <f>INDEX(Master_Table[],MATCH(Simulator!$E20,Master_Table[P/N],0),COLUMN(Master_Table[I^22]))</f>
        <v>-1.5538942879132652E-6</v>
      </c>
      <c r="U7" s="5">
        <f>INDEX(Master_Table[],MATCH(Simulator!$E20,Master_Table[P/N],0),COLUMN(Master_Table[I^12]))</f>
        <v>4.3750576997786984E-3</v>
      </c>
      <c r="V7" s="5">
        <f>INDEX(Master_Table[],MATCH(Simulator!$E20,Master_Table[P/N],0),COLUMN(Master_Table[I^02]))</f>
        <v>0</v>
      </c>
      <c r="W7" s="88">
        <f t="shared" ref="W7:W12" si="9">(R7*F$1^4+S7*F$1^3+T7*F$1^2+U7*F$1^1+V7)</f>
        <v>0.62202049058753572</v>
      </c>
      <c r="X7" s="87">
        <f>INDEX(Master_Table[],MATCH(Simulator!$E20,Master_Table[P/N],0),COLUMN(Master_Table[T^42]))</f>
        <v>0</v>
      </c>
      <c r="Y7" s="83">
        <f>INDEX(Master_Table[],MATCH(Simulator!$E20,Master_Table[P/N],0),COLUMN(Master_Table[T^32]))</f>
        <v>-1.6503999999999997E-8</v>
      </c>
      <c r="Z7" s="83">
        <f>INDEX(Master_Table[],MATCH(Simulator!$E20,Master_Table[P/N],0),COLUMN(Master_Table[T^22]))</f>
        <v>3.8854999999999992E-7</v>
      </c>
      <c r="AA7" s="83">
        <f>INDEX(Master_Table[],MATCH(Simulator!$E20,Master_Table[P/N],0),COLUMN(Master_Table[T^12]))</f>
        <v>-1.7411999999999996E-3</v>
      </c>
      <c r="AB7" s="83">
        <f>INDEX(Master_Table[],MATCH(Simulator!$E20,Master_Table[P/N],0),COLUMN(Master_Table[T^02]))</f>
        <v>1.0476999999999999</v>
      </c>
      <c r="AC7" s="132">
        <f t="shared" ref="AC7:AC12" si="10">(X7*H$1^4+Y7*H$1^3+Z7*H$1^2+AA7*H$1^1+AB7)</f>
        <v>1.0041549687499998</v>
      </c>
      <c r="AD7" s="126">
        <f t="shared" ref="AD7:AD12" si="11">AC7*W7*Q7</f>
        <v>687.06546291656514</v>
      </c>
      <c r="AE7" s="126">
        <f t="shared" ref="AE7:AE12" si="12">O7+AD7</f>
        <v>687.06546291656514</v>
      </c>
      <c r="AF7" s="314">
        <f t="shared" ref="AF7:AF12" si="13">O7/(AE7)</f>
        <v>0</v>
      </c>
      <c r="AG7" s="312"/>
      <c r="AH7" s="87">
        <f>INDEX(Master_Table[],MATCH(Simulator!E20,Master_Table[P/N],0),COLUMN(Master_Table[Typical Voltage]))</f>
        <v>36</v>
      </c>
      <c r="AI7" s="87">
        <f>INDEX(Master_Table[],MATCH(Simulator!$E20,Master_Table[P/N],0),COLUMN(Master_Table[V^4]))</f>
        <v>0</v>
      </c>
      <c r="AJ7" s="83">
        <f>INDEX(Master_Table[],MATCH(Simulator!$E20,Master_Table[P/N],0),COLUMN(Master_Table[V^3]))</f>
        <v>1.4157327176128433E-8</v>
      </c>
      <c r="AK7" s="83">
        <f>INDEX(Master_Table[],MATCH(Simulator!$E20,Master_Table[P/N],0),COLUMN(Master_Table[V^2]))</f>
        <v>-1.7559789937735926E-5</v>
      </c>
      <c r="AL7" s="83">
        <f>INDEX(Master_Table[],MATCH(Simulator!$E20,Master_Table[P/N],0),COLUMN(Master_Table[V]))</f>
        <v>1.8034269250141264E-2</v>
      </c>
      <c r="AM7" s="88">
        <f>INDEX(Master_Table[],MATCH(Simulator!$E20,Master_Table[P/N],0),COLUMN(Master_Table[V0]))</f>
        <v>31.467711321446174</v>
      </c>
      <c r="AN7" s="85">
        <f t="shared" si="3"/>
        <v>31.467711321446174</v>
      </c>
      <c r="AO7" s="127">
        <f>(H$1-25)*INDEX(Master_Table[],MATCH(Simulator!$E20,Master_Table[P/N],0),COLUMN(Master_Table[dV/dT (mV/C)]))/1000</f>
        <v>0</v>
      </c>
      <c r="AP7" s="127">
        <f t="shared" ref="AP7:AP12" si="14">AN7+AO7</f>
        <v>31.467711321446174</v>
      </c>
      <c r="AR7" s="87">
        <f>INDEX(Master_Table[],MATCH(Simulator!E20,Master_Table[P/N],0),COLUMN(Master_Table[Typical Voltage2]))</f>
        <v>36</v>
      </c>
      <c r="AS7" s="87">
        <f>INDEX(Master_Table[],MATCH(Simulator!$E20,Master_Table[P/N],0),COLUMN(Master_Table[V^42]))</f>
        <v>0</v>
      </c>
      <c r="AT7" s="83">
        <f>INDEX(Master_Table[],MATCH(Simulator!$E20,Master_Table[P/N],0),COLUMN(Master_Table[V^32]))</f>
        <v>1.4157327176128433E-8</v>
      </c>
      <c r="AU7" s="83">
        <f>INDEX(Master_Table[],MATCH(Simulator!$E20,Master_Table[P/N],0),COLUMN(Master_Table[V^22]))</f>
        <v>-1.7559789937735926E-5</v>
      </c>
      <c r="AV7" s="83">
        <f>INDEX(Master_Table[],MATCH(Simulator!$E20,Master_Table[P/N],0),COLUMN(Master_Table[V^12]))</f>
        <v>1.8034269250141264E-2</v>
      </c>
      <c r="AW7" s="88">
        <f>INDEX(Master_Table[],MATCH(Simulator!$E20,Master_Table[P/N],0),COLUMN(Master_Table[V^02]))</f>
        <v>31.467711321446174</v>
      </c>
      <c r="AX7" s="129">
        <f t="shared" ref="AX7:AX12" si="15">AS7*F$1^4+AT7*F$1^3+AU7*F$1^2+AV7*F$1^1+AW7</f>
        <v>33.825537414587735</v>
      </c>
      <c r="AY7" s="214">
        <f>(H$1-25)*INDEX(Master_Table[],MATCH(Simulator!$E20,Master_Table[P/N],0),COLUMN(Master_Table[dV/dT (mV/C)2]))/1000</f>
        <v>0</v>
      </c>
      <c r="AZ7" s="214">
        <f t="shared" ref="AZ7:AZ12" si="16">AX7+AY7</f>
        <v>33.825537414587735</v>
      </c>
      <c r="BB7" s="87">
        <f>INDEX(Master_Table[],MATCH(Simulator!$E20,Master_Table[P/N],0),COLUMN(Master_Table[LR(WW)^4]))</f>
        <v>0</v>
      </c>
      <c r="BC7" s="83">
        <f>INDEX(Master_Table[],MATCH(Simulator!$E20,Master_Table[P/N],0),COLUMN(Master_Table[LR(WW)^3]))</f>
        <v>277.33</v>
      </c>
      <c r="BD7" s="83">
        <f>INDEX(Master_Table[],MATCH(Simulator!$E20,Master_Table[P/N],0),COLUMN(Master_Table[LR(WW)^2]))</f>
        <v>-962.29</v>
      </c>
      <c r="BE7" s="83">
        <f>INDEX(Master_Table[],MATCH(Simulator!$E20,Master_Table[P/N],0),COLUMN(Master_Table[LR(WW)^1]))</f>
        <v>-1515</v>
      </c>
      <c r="BF7" s="83">
        <f>INDEX(Master_Table[],MATCH(Simulator!$E20,Master_Table[P/N],0),COLUMN(Master_Table[LR(WW)^0]))</f>
        <v>4000.9</v>
      </c>
      <c r="BG7" s="114">
        <f t="shared" si="4"/>
        <v>4000.9</v>
      </c>
      <c r="BI7" s="87">
        <f>INDEX(Master_Table[],MATCH(Simulator!$E20,Master_Table[P/N],0),COLUMN(Master_Table[LR(WW)^4]))</f>
        <v>0</v>
      </c>
      <c r="BJ7" s="231">
        <f>INDEX(Master_Table[],MATCH(Simulator!$E20,Master_Table[P/N],0),COLUMN(Master_Table[LR(WW)^3]))</f>
        <v>277.33</v>
      </c>
      <c r="BK7" s="231">
        <f>INDEX(Master_Table[],MATCH(Simulator!$E20,Master_Table[P/N],0),COLUMN(Master_Table[LR(WW)^2]))</f>
        <v>-962.29</v>
      </c>
      <c r="BL7" s="231">
        <f>INDEX(Master_Table[],MATCH(Simulator!$E20,Master_Table[P/N],0),COLUMN(Master_Table[LR(WW)^1]))</f>
        <v>-1515</v>
      </c>
      <c r="BM7" s="231">
        <f>INDEX(Master_Table[],MATCH(Simulator!$E20,Master_Table[P/N],0),COLUMN(Master_Table[LR(WW)^0]))</f>
        <v>4000.9</v>
      </c>
      <c r="BN7" s="114">
        <f t="shared" si="5"/>
        <v>4000</v>
      </c>
    </row>
    <row r="8" spans="1:66" x14ac:dyDescent="0.25">
      <c r="A8" t="s">
        <v>118</v>
      </c>
      <c r="B8" s="87">
        <f>INDEX(Master_Table[],MATCH(Simulator!E21,Master_Table[P/N],0),COLUMN(Master_Table[Typical Lumens]))</f>
        <v>1350</v>
      </c>
      <c r="C8" s="5">
        <f>INDEX(Master_Table[],MATCH(Simulator!$E21,Master_Table[P/N],0),COLUMN(Master_Table[I^4]))</f>
        <v>0</v>
      </c>
      <c r="D8" s="5">
        <f>INDEX(Master_Table[],MATCH(Simulator!$E21,Master_Table[P/N],0),COLUMN(Master_Table[I^3]))</f>
        <v>6.9192563587878019E-11</v>
      </c>
      <c r="E8" s="5">
        <f>INDEX(Master_Table[],MATCH(Simulator!$E21,Master_Table[P/N],0),COLUMN(Master_Table[I^2]))</f>
        <v>-4.9616379529983745E-7</v>
      </c>
      <c r="F8" s="5">
        <f>INDEX(Master_Table[],MATCH(Simulator!$E21,Master_Table[P/N],0),COLUMN(Master_Table[I]))</f>
        <v>2.230783756752949E-3</v>
      </c>
      <c r="G8" s="5">
        <f>INDEX(Master_Table[],MATCH(Simulator!$E21,Master_Table[P/N],0),COLUMN(Master_Table[I0]))</f>
        <v>0</v>
      </c>
      <c r="H8" s="114">
        <f t="shared" si="6"/>
        <v>0</v>
      </c>
      <c r="I8" s="87">
        <f>INDEX(Master_Table[],MATCH(Simulator!$E21,Master_Table[P/N],0),COLUMN(Master_Table[T^4]))</f>
        <v>0</v>
      </c>
      <c r="J8" s="211">
        <f>INDEX(Master_Table[],MATCH(Simulator!$E21,Master_Table[P/N],0),COLUMN(Master_Table[T^3]))</f>
        <v>-9.997063362637225E-9</v>
      </c>
      <c r="K8" s="211">
        <f>INDEX(Master_Table[],MATCH(Simulator!$E21,Master_Table[P/N],0),COLUMN(Master_Table[T^2]))</f>
        <v>-1.999412672527445E-6</v>
      </c>
      <c r="L8" s="211">
        <f>INDEX(Master_Table[],MATCH(Simulator!$E21,Master_Table[P/N],0),COLUMN(Master_Table[T]))</f>
        <v>-1.3995888707692115E-3</v>
      </c>
      <c r="M8" s="211">
        <f>INDEX(Master_Table[],MATCH(Simulator!$E21,Master_Table[P/N],0),COLUMN(Master_Table[T0]))</f>
        <v>1.036395558804601</v>
      </c>
      <c r="N8" s="328">
        <f t="shared" si="7"/>
        <v>0.99999999999999989</v>
      </c>
      <c r="O8" s="125">
        <f t="shared" si="8"/>
        <v>0</v>
      </c>
      <c r="Q8" s="87">
        <f>INDEX(Master_Table[],MATCH(Simulator!E21,Master_Table[P/N],0),COLUMN(Master_Table[Typical Lumens2]))</f>
        <v>2120</v>
      </c>
      <c r="R8" s="5">
        <f>INDEX(Master_Table[],MATCH(Simulator!$E21,Master_Table[P/N],0),COLUMN(Master_Table[I^42]))</f>
        <v>0</v>
      </c>
      <c r="S8" s="5">
        <f>INDEX(Master_Table[],MATCH(Simulator!$E21,Master_Table[P/N],0),COLUMN(Master_Table[I^32]))</f>
        <v>7.0624563032807148E-11</v>
      </c>
      <c r="T8" s="5">
        <f>INDEX(Master_Table[],MATCH(Simulator!$E21,Master_Table[P/N],0),COLUMN(Master_Table[I^22]))</f>
        <v>-5.2296323555067057E-7</v>
      </c>
      <c r="U8" s="5">
        <f>INDEX(Master_Table[],MATCH(Simulator!$E21,Master_Table[P/N],0),COLUMN(Master_Table[I^12]))</f>
        <v>2.2438256768235166E-3</v>
      </c>
      <c r="V8" s="5">
        <f>INDEX(Master_Table[],MATCH(Simulator!$E21,Master_Table[P/N],0),COLUMN(Master_Table[I^02]))</f>
        <v>-9.9903191310040802E-8</v>
      </c>
      <c r="W8" s="132">
        <f t="shared" si="9"/>
        <v>0.32504543672068181</v>
      </c>
      <c r="X8" s="87">
        <f>INDEX(Master_Table[],MATCH(Simulator!$E21,Master_Table[P/N],0),COLUMN(Master_Table[T^42]))</f>
        <v>0</v>
      </c>
      <c r="Y8" s="83">
        <f>INDEX(Master_Table[],MATCH(Simulator!$E21,Master_Table[P/N],0),COLUMN(Master_Table[T^32]))</f>
        <v>-6.9962176698222528E-9</v>
      </c>
      <c r="Z8" s="83">
        <f>INDEX(Master_Table[],MATCH(Simulator!$E21,Master_Table[P/N],0),COLUMN(Master_Table[T^22]))</f>
        <v>-1.9989193342349293E-6</v>
      </c>
      <c r="AA8" s="83">
        <f>INDEX(Master_Table[],MATCH(Simulator!$E21,Master_Table[P/N],0),COLUMN(Master_Table[T^12]))</f>
        <v>-1.6990814340996899E-3</v>
      </c>
      <c r="AB8" s="83">
        <f>INDEX(Master_Table[],MATCH(Simulator!$E21,Master_Table[P/N],0),COLUMN(Master_Table[T^02]))</f>
        <v>1.0438356763374801</v>
      </c>
      <c r="AC8" s="132">
        <f t="shared" si="10"/>
        <v>1</v>
      </c>
      <c r="AD8" s="126">
        <f t="shared" si="11"/>
        <v>689.09632584784549</v>
      </c>
      <c r="AE8" s="126">
        <f t="shared" si="12"/>
        <v>689.09632584784549</v>
      </c>
      <c r="AF8" s="314">
        <f t="shared" si="13"/>
        <v>0</v>
      </c>
      <c r="AG8" s="312"/>
      <c r="AH8" s="87">
        <f>INDEX(Master_Table[],MATCH(Simulator!E21,Master_Table[P/N],0),COLUMN(Master_Table[Typical Voltage]))</f>
        <v>35.200000000000003</v>
      </c>
      <c r="AI8" s="87">
        <f>INDEX(Master_Table[],MATCH(Simulator!$E21,Master_Table[P/N],0),COLUMN(Master_Table[V^4]))</f>
        <v>0</v>
      </c>
      <c r="AJ8" s="83">
        <f>INDEX(Master_Table[],MATCH(Simulator!$E21,Master_Table[P/N],0),COLUMN(Master_Table[V^3]))</f>
        <v>6.3134022010016826E-9</v>
      </c>
      <c r="AK8" s="83">
        <f>INDEX(Master_Table[],MATCH(Simulator!$E21,Master_Table[P/N],0),COLUMN(Master_Table[V^2]))</f>
        <v>-1.0989357211375907E-5</v>
      </c>
      <c r="AL8" s="83">
        <f>INDEX(Master_Table[],MATCH(Simulator!$E21,Master_Table[P/N],0),COLUMN(Master_Table[V]))</f>
        <v>1.436062905044014E-2</v>
      </c>
      <c r="AM8" s="88">
        <f>INDEX(Master_Table[],MATCH(Simulator!$E21,Master_Table[P/N],0),COLUMN(Master_Table[V0]))</f>
        <v>29.9778495024987</v>
      </c>
      <c r="AN8" s="85">
        <f t="shared" si="3"/>
        <v>29.9778495024987</v>
      </c>
      <c r="AO8" s="127">
        <f>(H$1-25)*INDEX(Master_Table[],MATCH(Simulator!$E21,Master_Table[P/N],0),COLUMN(Master_Table[dV/dT (mV/C)]))/1000</f>
        <v>0</v>
      </c>
      <c r="AP8" s="127">
        <f t="shared" si="14"/>
        <v>29.9778495024987</v>
      </c>
      <c r="AR8" s="87">
        <f>INDEX(Master_Table[],MATCH(Simulator!E21,Master_Table[P/N],0),COLUMN(Master_Table[Typical Voltage2]))</f>
        <v>36.299999999999997</v>
      </c>
      <c r="AS8" s="87">
        <f>INDEX(Master_Table[],MATCH(Simulator!$E21,Master_Table[P/N],0),COLUMN(Master_Table[V^42]))</f>
        <v>0</v>
      </c>
      <c r="AT8" s="83">
        <f>INDEX(Master_Table[],MATCH(Simulator!$E21,Master_Table[P/N],0),COLUMN(Master_Table[V^32]))</f>
        <v>6.5106960197829841E-9</v>
      </c>
      <c r="AU8" s="83">
        <f>INDEX(Master_Table[],MATCH(Simulator!$E21,Master_Table[P/N],0),COLUMN(Master_Table[V^22]))</f>
        <v>-1.1332774624231401E-5</v>
      </c>
      <c r="AV8" s="83">
        <f>INDEX(Master_Table[],MATCH(Simulator!$E21,Master_Table[P/N],0),COLUMN(Master_Table[V^12]))</f>
        <v>1.4809398708266391E-2</v>
      </c>
      <c r="AW8" s="88">
        <f>INDEX(Master_Table[],MATCH(Simulator!$E21,Master_Table[P/N],0),COLUMN(Master_Table[V^02]))</f>
        <v>30.914657299451779</v>
      </c>
      <c r="AX8" s="129">
        <f t="shared" si="15"/>
        <v>32.903053275713297</v>
      </c>
      <c r="AY8" s="214">
        <f>(H$1-25)*INDEX(Master_Table[],MATCH(Simulator!$E21,Master_Table[P/N],0),COLUMN(Master_Table[dV/dT (mV/C)2]))/1000</f>
        <v>0</v>
      </c>
      <c r="AZ8" s="214">
        <f t="shared" si="16"/>
        <v>32.903053275713297</v>
      </c>
      <c r="BB8" s="87">
        <f>INDEX(Master_Table[],MATCH(Simulator!$E21,Master_Table[P/N],0),COLUMN(Master_Table[LR(WW)^4]))</f>
        <v>0</v>
      </c>
      <c r="BC8" s="83">
        <f>INDEX(Master_Table[],MATCH(Simulator!$E21,Master_Table[P/N],0),COLUMN(Master_Table[LR(WW)^3]))</f>
        <v>277.33</v>
      </c>
      <c r="BD8" s="83">
        <f>INDEX(Master_Table[],MATCH(Simulator!$E21,Master_Table[P/N],0),COLUMN(Master_Table[LR(WW)^2]))</f>
        <v>-962.29</v>
      </c>
      <c r="BE8" s="83">
        <f>INDEX(Master_Table[],MATCH(Simulator!$E21,Master_Table[P/N],0),COLUMN(Master_Table[LR(WW)^1]))</f>
        <v>-1515</v>
      </c>
      <c r="BF8" s="83">
        <f>INDEX(Master_Table[],MATCH(Simulator!$E21,Master_Table[P/N],0),COLUMN(Master_Table[LR(WW)^0]))</f>
        <v>4000.9</v>
      </c>
      <c r="BG8" s="114">
        <f t="shared" si="4"/>
        <v>4000.9</v>
      </c>
      <c r="BI8" s="87">
        <f>INDEX(Master_Table[],MATCH(Simulator!$E21,Master_Table[P/N],0),COLUMN(Master_Table[LR(WW)^4]))</f>
        <v>0</v>
      </c>
      <c r="BJ8" s="231">
        <f>INDEX(Master_Table[],MATCH(Simulator!$E21,Master_Table[P/N],0),COLUMN(Master_Table[LR(WW)^3]))</f>
        <v>277.33</v>
      </c>
      <c r="BK8" s="231">
        <f>INDEX(Master_Table[],MATCH(Simulator!$E21,Master_Table[P/N],0),COLUMN(Master_Table[LR(WW)^2]))</f>
        <v>-962.29</v>
      </c>
      <c r="BL8" s="231">
        <f>INDEX(Master_Table[],MATCH(Simulator!$E21,Master_Table[P/N],0),COLUMN(Master_Table[LR(WW)^1]))</f>
        <v>-1515</v>
      </c>
      <c r="BM8" s="231">
        <f>INDEX(Master_Table[],MATCH(Simulator!$E21,Master_Table[P/N],0),COLUMN(Master_Table[LR(WW)^0]))</f>
        <v>4000.9</v>
      </c>
      <c r="BN8" s="114">
        <f t="shared" si="5"/>
        <v>4000</v>
      </c>
    </row>
    <row r="9" spans="1:66" x14ac:dyDescent="0.25">
      <c r="A9" t="s">
        <v>131</v>
      </c>
      <c r="B9" s="87" t="e">
        <f>INDEX(Master_Table[],MATCH(Simulator!E22,Master_Table[P/N],0),COLUMN(Master_Table[Typical Lumens]))</f>
        <v>#N/A</v>
      </c>
      <c r="C9" s="5" t="e">
        <f>INDEX(Master_Table[],MATCH(Simulator!$E22,Master_Table[P/N],0),COLUMN(Master_Table[I^4]))</f>
        <v>#N/A</v>
      </c>
      <c r="D9" s="5" t="e">
        <f>INDEX(Master_Table[],MATCH(Simulator!$E22,Master_Table[P/N],0),COLUMN(Master_Table[I^3]))</f>
        <v>#N/A</v>
      </c>
      <c r="E9" s="5" t="e">
        <f>INDEX(Master_Table[],MATCH(Simulator!$E22,Master_Table[P/N],0),COLUMN(Master_Table[I^2]))</f>
        <v>#N/A</v>
      </c>
      <c r="F9" s="5" t="e">
        <f>INDEX(Master_Table[],MATCH(Simulator!$E22,Master_Table[P/N],0),COLUMN(Master_Table[I]))</f>
        <v>#N/A</v>
      </c>
      <c r="G9" s="5" t="e">
        <f>INDEX(Master_Table[],MATCH(Simulator!$E22,Master_Table[P/N],0),COLUMN(Master_Table[I0]))</f>
        <v>#N/A</v>
      </c>
      <c r="H9" s="88" t="e">
        <f t="shared" si="6"/>
        <v>#N/A</v>
      </c>
      <c r="I9" s="87" t="e">
        <f>INDEX(Master_Table[],MATCH(Simulator!$E22,Master_Table[P/N],0),COLUMN(Master_Table[T^4]))</f>
        <v>#N/A</v>
      </c>
      <c r="J9" s="211" t="e">
        <f>INDEX(Master_Table[],MATCH(Simulator!$E22,Master_Table[P/N],0),COLUMN(Master_Table[T^3]))</f>
        <v>#N/A</v>
      </c>
      <c r="K9" s="211" t="e">
        <f>INDEX(Master_Table[],MATCH(Simulator!$E22,Master_Table[P/N],0),COLUMN(Master_Table[T^2]))</f>
        <v>#N/A</v>
      </c>
      <c r="L9" s="211" t="e">
        <f>INDEX(Master_Table[],MATCH(Simulator!$E22,Master_Table[P/N],0),COLUMN(Master_Table[T]))</f>
        <v>#N/A</v>
      </c>
      <c r="M9" s="211" t="e">
        <f>INDEX(Master_Table[],MATCH(Simulator!$E22,Master_Table[P/N],0),COLUMN(Master_Table[T0]))</f>
        <v>#N/A</v>
      </c>
      <c r="N9" s="328" t="e">
        <f t="shared" si="7"/>
        <v>#N/A</v>
      </c>
      <c r="O9" s="125" t="e">
        <f t="shared" si="8"/>
        <v>#N/A</v>
      </c>
      <c r="Q9" s="87" t="e">
        <f>INDEX(Master_Table[],MATCH(Simulator!E22,Master_Table[P/N],0),COLUMN(Master_Table[Typical Lumens2]))</f>
        <v>#N/A</v>
      </c>
      <c r="R9" s="5" t="e">
        <f>INDEX(Master_Table[],MATCH(Simulator!$E22,Master_Table[P/N],0),COLUMN(Master_Table[I^42]))</f>
        <v>#N/A</v>
      </c>
      <c r="S9" s="5" t="e">
        <f>INDEX(Master_Table[],MATCH(Simulator!$E22,Master_Table[P/N],0),COLUMN(Master_Table[I^32]))</f>
        <v>#N/A</v>
      </c>
      <c r="T9" s="5" t="e">
        <f>INDEX(Master_Table[],MATCH(Simulator!$E22,Master_Table[P/N],0),COLUMN(Master_Table[I^22]))</f>
        <v>#N/A</v>
      </c>
      <c r="U9" s="5" t="e">
        <f>INDEX(Master_Table[],MATCH(Simulator!$E22,Master_Table[P/N],0),COLUMN(Master_Table[I^12]))</f>
        <v>#N/A</v>
      </c>
      <c r="V9" s="5" t="e">
        <f>INDEX(Master_Table[],MATCH(Simulator!$E22,Master_Table[P/N],0),COLUMN(Master_Table[I^02]))</f>
        <v>#N/A</v>
      </c>
      <c r="W9" s="86" t="e">
        <f t="shared" si="9"/>
        <v>#N/A</v>
      </c>
      <c r="X9" s="87" t="e">
        <f>INDEX(Master_Table[],MATCH(Simulator!$E22,Master_Table[P/N],0),COLUMN(Master_Table[T^42]))</f>
        <v>#N/A</v>
      </c>
      <c r="Y9" s="83" t="e">
        <f>INDEX(Master_Table[],MATCH(Simulator!$E22,Master_Table[P/N],0),COLUMN(Master_Table[T^32]))</f>
        <v>#N/A</v>
      </c>
      <c r="Z9" s="83" t="e">
        <f>INDEX(Master_Table[],MATCH(Simulator!$E22,Master_Table[P/N],0),COLUMN(Master_Table[T^22]))</f>
        <v>#N/A</v>
      </c>
      <c r="AA9" s="83" t="e">
        <f>INDEX(Master_Table[],MATCH(Simulator!$E22,Master_Table[P/N],0),COLUMN(Master_Table[T^12]))</f>
        <v>#N/A</v>
      </c>
      <c r="AB9" s="83" t="e">
        <f>INDEX(Master_Table[],MATCH(Simulator!$E22,Master_Table[P/N],0),COLUMN(Master_Table[T^02]))</f>
        <v>#N/A</v>
      </c>
      <c r="AC9" s="132" t="e">
        <f t="shared" si="10"/>
        <v>#N/A</v>
      </c>
      <c r="AD9" s="126" t="e">
        <f t="shared" si="11"/>
        <v>#N/A</v>
      </c>
      <c r="AE9" s="126" t="e">
        <f t="shared" si="12"/>
        <v>#N/A</v>
      </c>
      <c r="AF9" s="314" t="e">
        <f t="shared" si="13"/>
        <v>#N/A</v>
      </c>
      <c r="AG9" s="312"/>
      <c r="AH9" s="87" t="e">
        <f>INDEX(Master_Table[],MATCH(Simulator!E22,Master_Table[P/N],0),COLUMN(Master_Table[Typical Voltage]))</f>
        <v>#N/A</v>
      </c>
      <c r="AI9" s="87" t="e">
        <f>INDEX(Master_Table[],MATCH(Simulator!$E22,Master_Table[P/N],0),COLUMN(Master_Table[V^4]))</f>
        <v>#N/A</v>
      </c>
      <c r="AJ9" s="83" t="e">
        <f>INDEX(Master_Table[],MATCH(Simulator!$E22,Master_Table[P/N],0),COLUMN(Master_Table[V^3]))</f>
        <v>#N/A</v>
      </c>
      <c r="AK9" s="83" t="e">
        <f>INDEX(Master_Table[],MATCH(Simulator!$E22,Master_Table[P/N],0),COLUMN(Master_Table[V^2]))</f>
        <v>#N/A</v>
      </c>
      <c r="AL9" s="83" t="e">
        <f>INDEX(Master_Table[],MATCH(Simulator!$E22,Master_Table[P/N],0),COLUMN(Master_Table[V]))</f>
        <v>#N/A</v>
      </c>
      <c r="AM9" s="88" t="e">
        <f>INDEX(Master_Table[],MATCH(Simulator!$E22,Master_Table[P/N],0),COLUMN(Master_Table[V0]))</f>
        <v>#N/A</v>
      </c>
      <c r="AN9" s="85" t="e">
        <f t="shared" si="3"/>
        <v>#N/A</v>
      </c>
      <c r="AO9" s="127" t="e">
        <f>(H$1-25)*INDEX(Master_Table[],MATCH(Simulator!$E22,Master_Table[P/N],0),COLUMN(Master_Table[dV/dT (mV/C)]))/1000</f>
        <v>#N/A</v>
      </c>
      <c r="AP9" s="127" t="e">
        <f t="shared" si="14"/>
        <v>#N/A</v>
      </c>
      <c r="AR9" s="87" t="e">
        <f>INDEX(Master_Table[],MATCH(Simulator!E22,Master_Table[P/N],0),COLUMN(Master_Table[Typical Voltage2]))</f>
        <v>#N/A</v>
      </c>
      <c r="AS9" s="87" t="e">
        <f>INDEX(Master_Table[],MATCH(Simulator!$E22,Master_Table[P/N],0),COLUMN(Master_Table[V^42]))</f>
        <v>#N/A</v>
      </c>
      <c r="AT9" s="83" t="e">
        <f>INDEX(Master_Table[],MATCH(Simulator!$E22,Master_Table[P/N],0),COLUMN(Master_Table[V^32]))</f>
        <v>#N/A</v>
      </c>
      <c r="AU9" s="83" t="e">
        <f>INDEX(Master_Table[],MATCH(Simulator!$E22,Master_Table[P/N],0),COLUMN(Master_Table[V^22]))</f>
        <v>#N/A</v>
      </c>
      <c r="AV9" s="83" t="e">
        <f>INDEX(Master_Table[],MATCH(Simulator!$E22,Master_Table[P/N],0),COLUMN(Master_Table[V^12]))</f>
        <v>#N/A</v>
      </c>
      <c r="AW9" s="88" t="e">
        <f>INDEX(Master_Table[],MATCH(Simulator!$E22,Master_Table[P/N],0),COLUMN(Master_Table[V^02]))</f>
        <v>#N/A</v>
      </c>
      <c r="AX9" s="129" t="e">
        <f t="shared" si="15"/>
        <v>#N/A</v>
      </c>
      <c r="AY9" s="214" t="e">
        <f>(H$1-25)*INDEX(Master_Table[],MATCH(Simulator!$E22,Master_Table[P/N],0),COLUMN(Master_Table[dV/dT (mV/C)2]))/1000</f>
        <v>#N/A</v>
      </c>
      <c r="AZ9" s="214" t="e">
        <f t="shared" si="16"/>
        <v>#N/A</v>
      </c>
      <c r="BB9" s="87" t="e">
        <f>INDEX(Master_Table[],MATCH(Simulator!$E22,Master_Table[P/N],0),COLUMN(Master_Table[LR(WW)^4]))</f>
        <v>#N/A</v>
      </c>
      <c r="BC9" s="83" t="e">
        <f>INDEX(Master_Table[],MATCH(Simulator!$E22,Master_Table[P/N],0),COLUMN(Master_Table[LR(WW)^3]))</f>
        <v>#N/A</v>
      </c>
      <c r="BD9" s="83" t="e">
        <f>INDEX(Master_Table[],MATCH(Simulator!$E22,Master_Table[P/N],0),COLUMN(Master_Table[LR(WW)^2]))</f>
        <v>#N/A</v>
      </c>
      <c r="BE9" s="83" t="e">
        <f>INDEX(Master_Table[],MATCH(Simulator!$E22,Master_Table[P/N],0),COLUMN(Master_Table[LR(WW)^1]))</f>
        <v>#N/A</v>
      </c>
      <c r="BF9" s="83" t="e">
        <f>INDEX(Master_Table[],MATCH(Simulator!$E22,Master_Table[P/N],0),COLUMN(Master_Table[LR(WW)^0]))</f>
        <v>#N/A</v>
      </c>
      <c r="BG9" s="114" t="e">
        <f t="shared" si="4"/>
        <v>#N/A</v>
      </c>
      <c r="BI9" s="87" t="e">
        <f>INDEX(Master_Table[],MATCH(Simulator!$E22,Master_Table[P/N],0),COLUMN(Master_Table[LR(WW)^4]))</f>
        <v>#N/A</v>
      </c>
      <c r="BJ9" s="231" t="e">
        <f>INDEX(Master_Table[],MATCH(Simulator!$E22,Master_Table[P/N],0),COLUMN(Master_Table[LR(WW)^3]))</f>
        <v>#N/A</v>
      </c>
      <c r="BK9" s="231" t="e">
        <f>INDEX(Master_Table[],MATCH(Simulator!$E22,Master_Table[P/N],0),COLUMN(Master_Table[LR(WW)^2]))</f>
        <v>#N/A</v>
      </c>
      <c r="BL9" s="231" t="e">
        <f>INDEX(Master_Table[],MATCH(Simulator!$E22,Master_Table[P/N],0),COLUMN(Master_Table[LR(WW)^1]))</f>
        <v>#N/A</v>
      </c>
      <c r="BM9" s="231" t="e">
        <f>INDEX(Master_Table[],MATCH(Simulator!$E22,Master_Table[P/N],0),COLUMN(Master_Table[LR(WW)^0]))</f>
        <v>#N/A</v>
      </c>
      <c r="BN9" s="114" t="e">
        <f t="shared" si="5"/>
        <v>#N/A</v>
      </c>
    </row>
    <row r="10" spans="1:66" x14ac:dyDescent="0.25">
      <c r="A10" t="s">
        <v>132</v>
      </c>
      <c r="B10" s="87">
        <f>INDEX(Master_Table[],MATCH(Simulator!E23,Master_Table[P/N],0),COLUMN(Master_Table[Typical Lumens]))</f>
        <v>2550</v>
      </c>
      <c r="C10" s="5">
        <f>INDEX(Master_Table[],MATCH(Simulator!$E23,Master_Table[P/N],0),COLUMN(Master_Table[I^4]))</f>
        <v>0</v>
      </c>
      <c r="D10" s="5">
        <f>INDEX(Master_Table[],MATCH(Simulator!$E23,Master_Table[P/N],0),COLUMN(Master_Table[I^3]))</f>
        <v>-4.9754063026872942E-11</v>
      </c>
      <c r="E10" s="5">
        <f>INDEX(Master_Table[],MATCH(Simulator!$E23,Master_Table[P/N],0),COLUMN(Master_Table[I^2]))</f>
        <v>-1.020265209108005E-7</v>
      </c>
      <c r="F10" s="5">
        <f>INDEX(Master_Table[],MATCH(Simulator!$E23,Master_Table[P/N],0),COLUMN(Master_Table[I]))</f>
        <v>1.2432357709825986E-3</v>
      </c>
      <c r="G10" s="5">
        <f>INDEX(Master_Table[],MATCH(Simulator!$E23,Master_Table[P/N],0),COLUMN(Master_Table[I0]))</f>
        <v>0</v>
      </c>
      <c r="H10" s="88">
        <f t="shared" si="6"/>
        <v>0</v>
      </c>
      <c r="I10" s="87">
        <f>INDEX(Master_Table[],MATCH(Simulator!$E23,Master_Table[P/N],0),COLUMN(Master_Table[T^4]))</f>
        <v>0</v>
      </c>
      <c r="J10" s="211">
        <f>INDEX(Master_Table[],MATCH(Simulator!$E23,Master_Table[P/N],0),COLUMN(Master_Table[T^3]))</f>
        <v>4.8117006622406727E-8</v>
      </c>
      <c r="K10" s="211">
        <f>INDEX(Master_Table[],MATCH(Simulator!$E23,Master_Table[P/N],0),COLUMN(Master_Table[T^2]))</f>
        <v>-1.4183045740663623E-5</v>
      </c>
      <c r="L10" s="211">
        <f>INDEX(Master_Table[],MATCH(Simulator!$E23,Master_Table[P/N],0),COLUMN(Master_Table[T]))</f>
        <v>-7.375323983295454E-4</v>
      </c>
      <c r="M10" s="211">
        <f>INDEX(Master_Table[],MATCH(Simulator!$E23,Master_Table[P/N],0),COLUMN(Master_Table[T0]))</f>
        <v>1.0265508853176784</v>
      </c>
      <c r="N10" s="328">
        <f t="shared" si="7"/>
        <v>1</v>
      </c>
      <c r="O10" s="125">
        <f t="shared" si="8"/>
        <v>0</v>
      </c>
      <c r="Q10" s="87">
        <f>INDEX(Master_Table[],MATCH(Simulator!E23,Master_Table[P/N],0),COLUMN(Master_Table[Typical Lumens2]))</f>
        <v>4000</v>
      </c>
      <c r="R10" s="5">
        <f>INDEX(Master_Table[],MATCH(Simulator!$E23,Master_Table[P/N],0),COLUMN(Master_Table[I^42]))</f>
        <v>0</v>
      </c>
      <c r="S10" s="5">
        <f>INDEX(Master_Table[],MATCH(Simulator!$E23,Master_Table[P/N],0),COLUMN(Master_Table[I^32]))</f>
        <v>-1.1568343088322302E-11</v>
      </c>
      <c r="T10" s="5">
        <f>INDEX(Master_Table[],MATCH(Simulator!$E23,Master_Table[P/N],0),COLUMN(Master_Table[I^22]))</f>
        <v>-1.8013025233400333E-7</v>
      </c>
      <c r="U10" s="5">
        <f>INDEX(Master_Table[],MATCH(Simulator!$E23,Master_Table[P/N],0),COLUMN(Master_Table[I^12]))</f>
        <v>1.282598696113255E-3</v>
      </c>
      <c r="V10" s="5">
        <f>INDEX(Master_Table[],MATCH(Simulator!$E23,Master_Table[P/N],0),COLUMN(Master_Table[I^02]))</f>
        <v>0</v>
      </c>
      <c r="W10" s="86">
        <f t="shared" si="9"/>
        <v>0.18829783058155009</v>
      </c>
      <c r="X10" s="87">
        <f>INDEX(Master_Table[],MATCH(Simulator!$E23,Master_Table[P/N],0),COLUMN(Master_Table[T^42]))</f>
        <v>0</v>
      </c>
      <c r="Y10" s="83">
        <f>INDEX(Master_Table[],MATCH(Simulator!$E23,Master_Table[P/N],0),COLUMN(Master_Table[T^32]))</f>
        <v>1.2476899115377308E-8</v>
      </c>
      <c r="Z10" s="83">
        <f>INDEX(Master_Table[],MATCH(Simulator!$E23,Master_Table[P/N],0),COLUMN(Master_Table[T^22]))</f>
        <v>-5.8898234636168484E-6</v>
      </c>
      <c r="AA10" s="83">
        <f>INDEX(Master_Table[],MATCH(Simulator!$E23,Master_Table[P/N],0),COLUMN(Master_Table[T^12]))</f>
        <v>1.3729715881239625E-3</v>
      </c>
      <c r="AB10" s="83">
        <f>INDEX(Master_Table[],MATCH(Simulator!$E23,Master_Table[P/N],0),COLUMN(Master_Table[T^02]))</f>
        <v>0.96916189841298372</v>
      </c>
      <c r="AC10" s="132">
        <f t="shared" si="10"/>
        <v>1</v>
      </c>
      <c r="AD10" s="126">
        <f t="shared" si="11"/>
        <v>753.19132232620029</v>
      </c>
      <c r="AE10" s="126">
        <f t="shared" si="12"/>
        <v>753.19132232620029</v>
      </c>
      <c r="AF10" s="314">
        <f t="shared" si="13"/>
        <v>0</v>
      </c>
      <c r="AG10" s="312"/>
      <c r="AH10" s="87">
        <f>INDEX(Master_Table[],MATCH(Simulator!E23,Master_Table[P/N],0),COLUMN(Master_Table[Typical Voltage]))</f>
        <v>35.200000000000003</v>
      </c>
      <c r="AI10" s="87">
        <f>INDEX(Master_Table[],MATCH(Simulator!$E23,Master_Table[P/N],0),COLUMN(Master_Table[V^4]))</f>
        <v>0</v>
      </c>
      <c r="AJ10" s="83">
        <f>INDEX(Master_Table[],MATCH(Simulator!$E23,Master_Table[P/N],0),COLUMN(Master_Table[V^3]))</f>
        <v>9.2448663744205294E-10</v>
      </c>
      <c r="AK10" s="83">
        <f>INDEX(Master_Table[],MATCH(Simulator!$E23,Master_Table[P/N],0),COLUMN(Master_Table[V^2]))</f>
        <v>-3.3279418599256972E-6</v>
      </c>
      <c r="AL10" s="83">
        <f>INDEX(Master_Table[],MATCH(Simulator!$E23,Master_Table[P/N],0),COLUMN(Master_Table[V]))</f>
        <v>6.8486512961052452E-3</v>
      </c>
      <c r="AM10" s="88">
        <f>INDEX(Master_Table[],MATCH(Simulator!$E23,Master_Table[P/N],0),COLUMN(Master_Table[V0]))</f>
        <v>31.057895981349841</v>
      </c>
      <c r="AN10" s="85">
        <f t="shared" si="3"/>
        <v>31.057895981349841</v>
      </c>
      <c r="AO10" s="127">
        <f>(H$1-25)*INDEX(Master_Table[],MATCH(Simulator!$E23,Master_Table[P/N],0),COLUMN(Master_Table[dV/dT (mV/C)]))/1000</f>
        <v>0</v>
      </c>
      <c r="AP10" s="127">
        <f t="shared" si="14"/>
        <v>31.057895981349841</v>
      </c>
      <c r="AR10" s="87">
        <f>INDEX(Master_Table[],MATCH(Simulator!E23,Master_Table[P/N],0),COLUMN(Master_Table[Typical Voltage2]))</f>
        <v>35.799999999999997</v>
      </c>
      <c r="AS10" s="87">
        <f>INDEX(Master_Table[],MATCH(Simulator!$E23,Master_Table[P/N],0),COLUMN(Master_Table[V^42]))</f>
        <v>0</v>
      </c>
      <c r="AT10" s="83">
        <f>INDEX(Master_Table[],MATCH(Simulator!$E23,Master_Table[P/N],0),COLUMN(Master_Table[V^32]))</f>
        <v>1.4797687785265915E-9</v>
      </c>
      <c r="AU10" s="83">
        <f>INDEX(Master_Table[],MATCH(Simulator!$E23,Master_Table[P/N],0),COLUMN(Master_Table[V^22]))</f>
        <v>-4.4166826938951844E-6</v>
      </c>
      <c r="AV10" s="83">
        <f>INDEX(Master_Table[],MATCH(Simulator!$E23,Master_Table[P/N],0),COLUMN(Master_Table[V^12]))</f>
        <v>7.8657228120611322E-3</v>
      </c>
      <c r="AW10" s="88">
        <f>INDEX(Master_Table[],MATCH(Simulator!$E23,Master_Table[P/N],0),COLUMN(Master_Table[V^02]))</f>
        <v>31.219611011654187</v>
      </c>
      <c r="AX10" s="129">
        <f t="shared" si="15"/>
        <v>32.305088292478246</v>
      </c>
      <c r="AY10" s="214">
        <f>(H$1-25)*INDEX(Master_Table[],MATCH(Simulator!$E23,Master_Table[P/N],0),COLUMN(Master_Table[dV/dT (mV/C)2]))/1000</f>
        <v>0</v>
      </c>
      <c r="AZ10" s="214">
        <f t="shared" si="16"/>
        <v>32.305088292478246</v>
      </c>
      <c r="BB10" s="87">
        <f>INDEX(Master_Table[],MATCH(Simulator!$E23,Master_Table[P/N],0),COLUMN(Master_Table[LR(WW)^4]))</f>
        <v>0</v>
      </c>
      <c r="BC10" s="83">
        <f>INDEX(Master_Table[],MATCH(Simulator!$E23,Master_Table[P/N],0),COLUMN(Master_Table[LR(WW)^3]))</f>
        <v>277.33</v>
      </c>
      <c r="BD10" s="83">
        <f>INDEX(Master_Table[],MATCH(Simulator!$E23,Master_Table[P/N],0),COLUMN(Master_Table[LR(WW)^2]))</f>
        <v>-962.29</v>
      </c>
      <c r="BE10" s="83">
        <f>INDEX(Master_Table[],MATCH(Simulator!$E23,Master_Table[P/N],0),COLUMN(Master_Table[LR(WW)^1]))</f>
        <v>-1515</v>
      </c>
      <c r="BF10" s="83">
        <f>INDEX(Master_Table[],MATCH(Simulator!$E23,Master_Table[P/N],0),COLUMN(Master_Table[LR(WW)^0]))</f>
        <v>4000.9</v>
      </c>
      <c r="BG10" s="114">
        <f t="shared" si="4"/>
        <v>4000.9</v>
      </c>
      <c r="BI10" s="87">
        <f>INDEX(Master_Table[],MATCH(Simulator!$E23,Master_Table[P/N],0),COLUMN(Master_Table[LR(WW)^4]))</f>
        <v>0</v>
      </c>
      <c r="BJ10" s="231">
        <f>INDEX(Master_Table[],MATCH(Simulator!$E23,Master_Table[P/N],0),COLUMN(Master_Table[LR(WW)^3]))</f>
        <v>277.33</v>
      </c>
      <c r="BK10" s="231">
        <f>INDEX(Master_Table[],MATCH(Simulator!$E23,Master_Table[P/N],0),COLUMN(Master_Table[LR(WW)^2]))</f>
        <v>-962.29</v>
      </c>
      <c r="BL10" s="231">
        <f>INDEX(Master_Table[],MATCH(Simulator!$E23,Master_Table[P/N],0),COLUMN(Master_Table[LR(WW)^1]))</f>
        <v>-1515</v>
      </c>
      <c r="BM10" s="231">
        <f>INDEX(Master_Table[],MATCH(Simulator!$E23,Master_Table[P/N],0),COLUMN(Master_Table[LR(WW)^0]))</f>
        <v>4000.9</v>
      </c>
      <c r="BN10" s="114">
        <f t="shared" si="5"/>
        <v>4000</v>
      </c>
    </row>
    <row r="11" spans="1:66" x14ac:dyDescent="0.25">
      <c r="A11" t="s">
        <v>133</v>
      </c>
      <c r="B11" s="87" t="e">
        <f>INDEX(Master_Table[],MATCH(Simulator!E24,Master_Table[P/N],0),COLUMN(Master_Table[Typical Lumens]))</f>
        <v>#N/A</v>
      </c>
      <c r="C11" s="5" t="e">
        <f>INDEX(Master_Table[],MATCH(Simulator!$E24,Master_Table[P/N],0),COLUMN(Master_Table[I^4]))</f>
        <v>#N/A</v>
      </c>
      <c r="D11" s="5" t="e">
        <f>INDEX(Master_Table[],MATCH(Simulator!$E24,Master_Table[P/N],0),COLUMN(Master_Table[I^3]))</f>
        <v>#N/A</v>
      </c>
      <c r="E11" s="5" t="e">
        <f>INDEX(Master_Table[],MATCH(Simulator!$E24,Master_Table[P/N],0),COLUMN(Master_Table[I^2]))</f>
        <v>#N/A</v>
      </c>
      <c r="F11" s="5" t="e">
        <f>INDEX(Master_Table[],MATCH(Simulator!$E24,Master_Table[P/N],0),COLUMN(Master_Table[I]))</f>
        <v>#N/A</v>
      </c>
      <c r="G11" s="5" t="e">
        <f>INDEX(Master_Table[],MATCH(Simulator!$E24,Master_Table[P/N],0),COLUMN(Master_Table[I0]))</f>
        <v>#N/A</v>
      </c>
      <c r="H11" s="88" t="e">
        <f t="shared" si="6"/>
        <v>#N/A</v>
      </c>
      <c r="I11" s="87" t="e">
        <f>INDEX(Master_Table[],MATCH(Simulator!$E24,Master_Table[P/N],0),COLUMN(Master_Table[T^4]))</f>
        <v>#N/A</v>
      </c>
      <c r="J11" s="211" t="e">
        <f>INDEX(Master_Table[],MATCH(Simulator!$E24,Master_Table[P/N],0),COLUMN(Master_Table[T^3]))</f>
        <v>#N/A</v>
      </c>
      <c r="K11" s="211" t="e">
        <f>INDEX(Master_Table[],MATCH(Simulator!$E24,Master_Table[P/N],0),COLUMN(Master_Table[T^2]))</f>
        <v>#N/A</v>
      </c>
      <c r="L11" s="211" t="e">
        <f>INDEX(Master_Table[],MATCH(Simulator!$E24,Master_Table[P/N],0),COLUMN(Master_Table[T]))</f>
        <v>#N/A</v>
      </c>
      <c r="M11" s="211" t="e">
        <f>INDEX(Master_Table[],MATCH(Simulator!$E24,Master_Table[P/N],0),COLUMN(Master_Table[T0]))</f>
        <v>#N/A</v>
      </c>
      <c r="N11" s="328" t="e">
        <f t="shared" si="7"/>
        <v>#N/A</v>
      </c>
      <c r="O11" s="125" t="e">
        <f t="shared" si="8"/>
        <v>#N/A</v>
      </c>
      <c r="Q11" s="87" t="e">
        <f>INDEX(Master_Table[],MATCH(Simulator!E24,Master_Table[P/N],0),COLUMN(Master_Table[Typical Lumens2]))</f>
        <v>#N/A</v>
      </c>
      <c r="R11" s="5" t="e">
        <f>INDEX(Master_Table[],MATCH(Simulator!$E24,Master_Table[P/N],0),COLUMN(Master_Table[I^42]))</f>
        <v>#N/A</v>
      </c>
      <c r="S11" s="5" t="e">
        <f>INDEX(Master_Table[],MATCH(Simulator!$E24,Master_Table[P/N],0),COLUMN(Master_Table[I^32]))</f>
        <v>#N/A</v>
      </c>
      <c r="T11" s="5" t="e">
        <f>INDEX(Master_Table[],MATCH(Simulator!$E24,Master_Table[P/N],0),COLUMN(Master_Table[I^22]))</f>
        <v>#N/A</v>
      </c>
      <c r="U11" s="5" t="e">
        <f>INDEX(Master_Table[],MATCH(Simulator!$E24,Master_Table[P/N],0),COLUMN(Master_Table[I^12]))</f>
        <v>#N/A</v>
      </c>
      <c r="V11" s="5" t="e">
        <f>INDEX(Master_Table[],MATCH(Simulator!$E24,Master_Table[P/N],0),COLUMN(Master_Table[I^02]))</f>
        <v>#N/A</v>
      </c>
      <c r="W11" s="86" t="e">
        <f t="shared" si="9"/>
        <v>#N/A</v>
      </c>
      <c r="X11" s="87" t="e">
        <f>INDEX(Master_Table[],MATCH(Simulator!$E24,Master_Table[P/N],0),COLUMN(Master_Table[T^42]))</f>
        <v>#N/A</v>
      </c>
      <c r="Y11" s="83" t="e">
        <f>INDEX(Master_Table[],MATCH(Simulator!$E24,Master_Table[P/N],0),COLUMN(Master_Table[T^32]))</f>
        <v>#N/A</v>
      </c>
      <c r="Z11" s="83" t="e">
        <f>INDEX(Master_Table[],MATCH(Simulator!$E24,Master_Table[P/N],0),COLUMN(Master_Table[T^22]))</f>
        <v>#N/A</v>
      </c>
      <c r="AA11" s="83" t="e">
        <f>INDEX(Master_Table[],MATCH(Simulator!$E24,Master_Table[P/N],0),COLUMN(Master_Table[T^12]))</f>
        <v>#N/A</v>
      </c>
      <c r="AB11" s="83" t="e">
        <f>INDEX(Master_Table[],MATCH(Simulator!$E24,Master_Table[P/N],0),COLUMN(Master_Table[T^02]))</f>
        <v>#N/A</v>
      </c>
      <c r="AC11" s="132" t="e">
        <f t="shared" si="10"/>
        <v>#N/A</v>
      </c>
      <c r="AD11" s="126" t="e">
        <f t="shared" si="11"/>
        <v>#N/A</v>
      </c>
      <c r="AE11" s="126" t="e">
        <f t="shared" si="12"/>
        <v>#N/A</v>
      </c>
      <c r="AF11" s="314" t="e">
        <f t="shared" si="13"/>
        <v>#N/A</v>
      </c>
      <c r="AG11" s="312"/>
      <c r="AH11" s="87" t="e">
        <f>INDEX(Master_Table[],MATCH(Simulator!E24,Master_Table[P/N],0),COLUMN(Master_Table[Typical Voltage]))</f>
        <v>#N/A</v>
      </c>
      <c r="AI11" s="87" t="e">
        <f>INDEX(Master_Table[],MATCH(Simulator!$E24,Master_Table[P/N],0),COLUMN(Master_Table[V^4]))</f>
        <v>#N/A</v>
      </c>
      <c r="AJ11" s="83" t="e">
        <f>INDEX(Master_Table[],MATCH(Simulator!$E24,Master_Table[P/N],0),COLUMN(Master_Table[V^3]))</f>
        <v>#N/A</v>
      </c>
      <c r="AK11" s="83" t="e">
        <f>INDEX(Master_Table[],MATCH(Simulator!$E24,Master_Table[P/N],0),COLUMN(Master_Table[V^2]))</f>
        <v>#N/A</v>
      </c>
      <c r="AL11" s="83" t="e">
        <f>INDEX(Master_Table[],MATCH(Simulator!$E24,Master_Table[P/N],0),COLUMN(Master_Table[V]))</f>
        <v>#N/A</v>
      </c>
      <c r="AM11" s="88" t="e">
        <f>INDEX(Master_Table[],MATCH(Simulator!$E24,Master_Table[P/N],0),COLUMN(Master_Table[V0]))</f>
        <v>#N/A</v>
      </c>
      <c r="AN11" s="85" t="e">
        <f t="shared" si="3"/>
        <v>#N/A</v>
      </c>
      <c r="AO11" s="127" t="e">
        <f>(H$1-25)*INDEX(Master_Table[],MATCH(Simulator!$E24,Master_Table[P/N],0),COLUMN(Master_Table[dV/dT (mV/C)]))/1000</f>
        <v>#N/A</v>
      </c>
      <c r="AP11" s="127" t="e">
        <f t="shared" si="14"/>
        <v>#N/A</v>
      </c>
      <c r="AR11" s="87" t="e">
        <f>INDEX(Master_Table[],MATCH(Simulator!E24,Master_Table[P/N],0),COLUMN(Master_Table[Typical Voltage2]))</f>
        <v>#N/A</v>
      </c>
      <c r="AS11" s="87" t="e">
        <f>INDEX(Master_Table[],MATCH(Simulator!$E24,Master_Table[P/N],0),COLUMN(Master_Table[V^42]))</f>
        <v>#N/A</v>
      </c>
      <c r="AT11" s="83" t="e">
        <f>INDEX(Master_Table[],MATCH(Simulator!$E24,Master_Table[P/N],0),COLUMN(Master_Table[V^32]))</f>
        <v>#N/A</v>
      </c>
      <c r="AU11" s="83" t="e">
        <f>INDEX(Master_Table[],MATCH(Simulator!$E24,Master_Table[P/N],0),COLUMN(Master_Table[V^22]))</f>
        <v>#N/A</v>
      </c>
      <c r="AV11" s="83" t="e">
        <f>INDEX(Master_Table[],MATCH(Simulator!$E24,Master_Table[P/N],0),COLUMN(Master_Table[V^12]))</f>
        <v>#N/A</v>
      </c>
      <c r="AW11" s="88" t="e">
        <f>INDEX(Master_Table[],MATCH(Simulator!$E24,Master_Table[P/N],0),COLUMN(Master_Table[V^02]))</f>
        <v>#N/A</v>
      </c>
      <c r="AX11" s="129" t="e">
        <f t="shared" si="15"/>
        <v>#N/A</v>
      </c>
      <c r="AY11" s="214" t="e">
        <f>(H$1-25)*INDEX(Master_Table[],MATCH(Simulator!$E24,Master_Table[P/N],0),COLUMN(Master_Table[dV/dT (mV/C)2]))/1000</f>
        <v>#N/A</v>
      </c>
      <c r="AZ11" s="214" t="e">
        <f t="shared" si="16"/>
        <v>#N/A</v>
      </c>
      <c r="BB11" s="87" t="e">
        <f>INDEX(Master_Table[],MATCH(Simulator!$E24,Master_Table[P/N],0),COLUMN(Master_Table[LR(WW)^4]))</f>
        <v>#N/A</v>
      </c>
      <c r="BC11" s="83" t="e">
        <f>INDEX(Master_Table[],MATCH(Simulator!$E24,Master_Table[P/N],0),COLUMN(Master_Table[LR(WW)^3]))</f>
        <v>#N/A</v>
      </c>
      <c r="BD11" s="83" t="e">
        <f>INDEX(Master_Table[],MATCH(Simulator!$E24,Master_Table[P/N],0),COLUMN(Master_Table[LR(WW)^2]))</f>
        <v>#N/A</v>
      </c>
      <c r="BE11" s="83" t="e">
        <f>INDEX(Master_Table[],MATCH(Simulator!$E24,Master_Table[P/N],0),COLUMN(Master_Table[LR(WW)^1]))</f>
        <v>#N/A</v>
      </c>
      <c r="BF11" s="83" t="e">
        <f>INDEX(Master_Table[],MATCH(Simulator!$E24,Master_Table[P/N],0),COLUMN(Master_Table[LR(WW)^0]))</f>
        <v>#N/A</v>
      </c>
      <c r="BG11" s="114" t="e">
        <f t="shared" si="4"/>
        <v>#N/A</v>
      </c>
      <c r="BI11" s="87" t="e">
        <f>INDEX(Master_Table[],MATCH(Simulator!$E24,Master_Table[P/N],0),COLUMN(Master_Table[LR(WW)^4]))</f>
        <v>#N/A</v>
      </c>
      <c r="BJ11" s="231" t="e">
        <f>INDEX(Master_Table[],MATCH(Simulator!$E24,Master_Table[P/N],0),COLUMN(Master_Table[LR(WW)^3]))</f>
        <v>#N/A</v>
      </c>
      <c r="BK11" s="231" t="e">
        <f>INDEX(Master_Table[],MATCH(Simulator!$E24,Master_Table[P/N],0),COLUMN(Master_Table[LR(WW)^2]))</f>
        <v>#N/A</v>
      </c>
      <c r="BL11" s="231" t="e">
        <f>INDEX(Master_Table[],MATCH(Simulator!$E24,Master_Table[P/N],0),COLUMN(Master_Table[LR(WW)^1]))</f>
        <v>#N/A</v>
      </c>
      <c r="BM11" s="231" t="e">
        <f>INDEX(Master_Table[],MATCH(Simulator!$E24,Master_Table[P/N],0),COLUMN(Master_Table[LR(WW)^0]))</f>
        <v>#N/A</v>
      </c>
      <c r="BN11" s="114" t="e">
        <f t="shared" si="5"/>
        <v>#N/A</v>
      </c>
    </row>
    <row r="12" spans="1:66" x14ac:dyDescent="0.25">
      <c r="A12" t="s">
        <v>134</v>
      </c>
      <c r="B12" s="87" t="e">
        <f>INDEX(Master_Table[],MATCH(Simulator!E25,Master_Table[P/N],0),COLUMN(Master_Table[Typical Lumens]))</f>
        <v>#N/A</v>
      </c>
      <c r="C12" s="5" t="e">
        <f>INDEX(Master_Table[],MATCH(Simulator!$E25,Master_Table[P/N],0),COLUMN(Master_Table[I^4]))</f>
        <v>#N/A</v>
      </c>
      <c r="D12" s="5" t="e">
        <f>INDEX(Master_Table[],MATCH(Simulator!$E25,Master_Table[P/N],0),COLUMN(Master_Table[I^3]))</f>
        <v>#N/A</v>
      </c>
      <c r="E12" s="5" t="e">
        <f>INDEX(Master_Table[],MATCH(Simulator!$E25,Master_Table[P/N],0),COLUMN(Master_Table[I^2]))</f>
        <v>#N/A</v>
      </c>
      <c r="F12" s="5" t="e">
        <f>INDEX(Master_Table[],MATCH(Simulator!$E25,Master_Table[P/N],0),COLUMN(Master_Table[I]))</f>
        <v>#N/A</v>
      </c>
      <c r="G12" s="5" t="e">
        <f>INDEX(Master_Table[],MATCH(Simulator!$E25,Master_Table[P/N],0),COLUMN(Master_Table[I0]))</f>
        <v>#N/A</v>
      </c>
      <c r="H12" s="88" t="e">
        <f t="shared" si="6"/>
        <v>#N/A</v>
      </c>
      <c r="I12" s="87" t="e">
        <f>INDEX(Master_Table[],MATCH(Simulator!$E25,Master_Table[P/N],0),COLUMN(Master_Table[T^4]))</f>
        <v>#N/A</v>
      </c>
      <c r="J12" s="211" t="e">
        <f>INDEX(Master_Table[],MATCH(Simulator!$E25,Master_Table[P/N],0),COLUMN(Master_Table[T^3]))</f>
        <v>#N/A</v>
      </c>
      <c r="K12" s="211" t="e">
        <f>INDEX(Master_Table[],MATCH(Simulator!$E25,Master_Table[P/N],0),COLUMN(Master_Table[T^2]))</f>
        <v>#N/A</v>
      </c>
      <c r="L12" s="211" t="e">
        <f>INDEX(Master_Table[],MATCH(Simulator!$E25,Master_Table[P/N],0),COLUMN(Master_Table[T]))</f>
        <v>#N/A</v>
      </c>
      <c r="M12" s="211" t="e">
        <f>INDEX(Master_Table[],MATCH(Simulator!$E25,Master_Table[P/N],0),COLUMN(Master_Table[T0]))</f>
        <v>#N/A</v>
      </c>
      <c r="N12" s="328" t="e">
        <f t="shared" si="7"/>
        <v>#N/A</v>
      </c>
      <c r="O12" s="125" t="e">
        <f t="shared" si="8"/>
        <v>#N/A</v>
      </c>
      <c r="Q12" s="87" t="e">
        <f>INDEX(Master_Table[],MATCH(Simulator!E25,Master_Table[P/N],0),COLUMN(Master_Table[Typical Lumens2]))</f>
        <v>#N/A</v>
      </c>
      <c r="R12" s="5" t="e">
        <f>INDEX(Master_Table[],MATCH(Simulator!$E25,Master_Table[P/N],0),COLUMN(Master_Table[I^42]))</f>
        <v>#N/A</v>
      </c>
      <c r="S12" s="5" t="e">
        <f>INDEX(Master_Table[],MATCH(Simulator!$E25,Master_Table[P/N],0),COLUMN(Master_Table[I^32]))</f>
        <v>#N/A</v>
      </c>
      <c r="T12" s="5" t="e">
        <f>INDEX(Master_Table[],MATCH(Simulator!$E25,Master_Table[P/N],0),COLUMN(Master_Table[I^22]))</f>
        <v>#N/A</v>
      </c>
      <c r="U12" s="5" t="e">
        <f>INDEX(Master_Table[],MATCH(Simulator!$E25,Master_Table[P/N],0),COLUMN(Master_Table[I^12]))</f>
        <v>#N/A</v>
      </c>
      <c r="V12" s="5" t="e">
        <f>INDEX(Master_Table[],MATCH(Simulator!$E25,Master_Table[P/N],0),COLUMN(Master_Table[I^02]))</f>
        <v>#N/A</v>
      </c>
      <c r="W12" s="86" t="e">
        <f t="shared" si="9"/>
        <v>#N/A</v>
      </c>
      <c r="X12" s="87" t="e">
        <f>INDEX(Master_Table[],MATCH(Simulator!$E25,Master_Table[P/N],0),COLUMN(Master_Table[T^42]))</f>
        <v>#N/A</v>
      </c>
      <c r="Y12" s="83" t="e">
        <f>INDEX(Master_Table[],MATCH(Simulator!$E25,Master_Table[P/N],0),COLUMN(Master_Table[T^32]))</f>
        <v>#N/A</v>
      </c>
      <c r="Z12" s="83" t="e">
        <f>INDEX(Master_Table[],MATCH(Simulator!$E25,Master_Table[P/N],0),COLUMN(Master_Table[T^22]))</f>
        <v>#N/A</v>
      </c>
      <c r="AA12" s="83" t="e">
        <f>INDEX(Master_Table[],MATCH(Simulator!$E25,Master_Table[P/N],0),COLUMN(Master_Table[T^12]))</f>
        <v>#N/A</v>
      </c>
      <c r="AB12" s="83" t="e">
        <f>INDEX(Master_Table[],MATCH(Simulator!$E25,Master_Table[P/N],0),COLUMN(Master_Table[T^02]))</f>
        <v>#N/A</v>
      </c>
      <c r="AC12" s="132" t="e">
        <f t="shared" si="10"/>
        <v>#N/A</v>
      </c>
      <c r="AD12" s="126" t="e">
        <f t="shared" si="11"/>
        <v>#N/A</v>
      </c>
      <c r="AE12" s="126" t="e">
        <f t="shared" si="12"/>
        <v>#N/A</v>
      </c>
      <c r="AF12" s="314" t="e">
        <f t="shared" si="13"/>
        <v>#N/A</v>
      </c>
      <c r="AG12" s="312"/>
      <c r="AH12" s="87" t="e">
        <f>INDEX(Master_Table[],MATCH(Simulator!E25,Master_Table[P/N],0),COLUMN(Master_Table[Typical Voltage]))</f>
        <v>#N/A</v>
      </c>
      <c r="AI12" s="87" t="e">
        <f>INDEX(Master_Table[],MATCH(Simulator!$E25,Master_Table[P/N],0),COLUMN(Master_Table[V^4]))</f>
        <v>#N/A</v>
      </c>
      <c r="AJ12" s="83" t="e">
        <f>INDEX(Master_Table[],MATCH(Simulator!$E25,Master_Table[P/N],0),COLUMN(Master_Table[V^3]))</f>
        <v>#N/A</v>
      </c>
      <c r="AK12" s="83" t="e">
        <f>INDEX(Master_Table[],MATCH(Simulator!$E25,Master_Table[P/N],0),COLUMN(Master_Table[V^2]))</f>
        <v>#N/A</v>
      </c>
      <c r="AL12" s="83" t="e">
        <f>INDEX(Master_Table[],MATCH(Simulator!$E25,Master_Table[P/N],0),COLUMN(Master_Table[V]))</f>
        <v>#N/A</v>
      </c>
      <c r="AM12" s="88" t="e">
        <f>INDEX(Master_Table[],MATCH(Simulator!$E25,Master_Table[P/N],0),COLUMN(Master_Table[V0]))</f>
        <v>#N/A</v>
      </c>
      <c r="AN12" s="85" t="e">
        <f t="shared" si="3"/>
        <v>#N/A</v>
      </c>
      <c r="AO12" s="127" t="e">
        <f>(H$1-25)*INDEX(Master_Table[],MATCH(Simulator!$E25,Master_Table[P/N],0),COLUMN(Master_Table[dV/dT (mV/C)]))/1000</f>
        <v>#N/A</v>
      </c>
      <c r="AP12" s="127" t="e">
        <f t="shared" si="14"/>
        <v>#N/A</v>
      </c>
      <c r="AR12" s="87" t="e">
        <f>INDEX(Master_Table[],MATCH(Simulator!E25,Master_Table[P/N],0),COLUMN(Master_Table[Typical Voltage2]))</f>
        <v>#N/A</v>
      </c>
      <c r="AS12" s="87" t="e">
        <f>INDEX(Master_Table[],MATCH(Simulator!$E25,Master_Table[P/N],0),COLUMN(Master_Table[V^42]))</f>
        <v>#N/A</v>
      </c>
      <c r="AT12" s="83" t="e">
        <f>INDEX(Master_Table[],MATCH(Simulator!$E25,Master_Table[P/N],0),COLUMN(Master_Table[V^32]))</f>
        <v>#N/A</v>
      </c>
      <c r="AU12" s="83" t="e">
        <f>INDEX(Master_Table[],MATCH(Simulator!$E25,Master_Table[P/N],0),COLUMN(Master_Table[V^22]))</f>
        <v>#N/A</v>
      </c>
      <c r="AV12" s="83" t="e">
        <f>INDEX(Master_Table[],MATCH(Simulator!$E25,Master_Table[P/N],0),COLUMN(Master_Table[V^12]))</f>
        <v>#N/A</v>
      </c>
      <c r="AW12" s="88" t="e">
        <f>INDEX(Master_Table[],MATCH(Simulator!$E25,Master_Table[P/N],0),COLUMN(Master_Table[V^02]))</f>
        <v>#N/A</v>
      </c>
      <c r="AX12" s="129" t="e">
        <f t="shared" si="15"/>
        <v>#N/A</v>
      </c>
      <c r="AY12" s="214" t="e">
        <f>(H$1-25)*INDEX(Master_Table[],MATCH(Simulator!$E25,Master_Table[P/N],0),COLUMN(Master_Table[dV/dT (mV/C)2]))/1000</f>
        <v>#N/A</v>
      </c>
      <c r="AZ12" s="214" t="e">
        <f t="shared" si="16"/>
        <v>#N/A</v>
      </c>
      <c r="BB12" s="87" t="e">
        <f>INDEX(Master_Table[],MATCH(Simulator!$E25,Master_Table[P/N],0),COLUMN(Master_Table[LR(WW)^4]))</f>
        <v>#N/A</v>
      </c>
      <c r="BC12" s="83" t="e">
        <f>INDEX(Master_Table[],MATCH(Simulator!$E25,Master_Table[P/N],0),COLUMN(Master_Table[LR(WW)^3]))</f>
        <v>#N/A</v>
      </c>
      <c r="BD12" s="83" t="e">
        <f>INDEX(Master_Table[],MATCH(Simulator!$E25,Master_Table[P/N],0),COLUMN(Master_Table[LR(WW)^2]))</f>
        <v>#N/A</v>
      </c>
      <c r="BE12" s="83" t="e">
        <f>INDEX(Master_Table[],MATCH(Simulator!$E25,Master_Table[P/N],0),COLUMN(Master_Table[LR(WW)^1]))</f>
        <v>#N/A</v>
      </c>
      <c r="BF12" s="83" t="e">
        <f>INDEX(Master_Table[],MATCH(Simulator!$E25,Master_Table[P/N],0),COLUMN(Master_Table[LR(WW)^0]))</f>
        <v>#N/A</v>
      </c>
      <c r="BG12" s="114" t="e">
        <f t="shared" si="4"/>
        <v>#N/A</v>
      </c>
      <c r="BI12" s="87" t="e">
        <f>INDEX(Master_Table[],MATCH(Simulator!$E25,Master_Table[P/N],0),COLUMN(Master_Table[LR(WW)^4]))</f>
        <v>#N/A</v>
      </c>
      <c r="BJ12" s="231" t="e">
        <f>INDEX(Master_Table[],MATCH(Simulator!$E25,Master_Table[P/N],0),COLUMN(Master_Table[LR(WW)^3]))</f>
        <v>#N/A</v>
      </c>
      <c r="BK12" s="231" t="e">
        <f>INDEX(Master_Table[],MATCH(Simulator!$E25,Master_Table[P/N],0),COLUMN(Master_Table[LR(WW)^2]))</f>
        <v>#N/A</v>
      </c>
      <c r="BL12" s="231" t="e">
        <f>INDEX(Master_Table[],MATCH(Simulator!$E25,Master_Table[P/N],0),COLUMN(Master_Table[LR(WW)^1]))</f>
        <v>#N/A</v>
      </c>
      <c r="BM12" s="231" t="e">
        <f>INDEX(Master_Table[],MATCH(Simulator!$E25,Master_Table[P/N],0),COLUMN(Master_Table[LR(WW)^0]))</f>
        <v>#N/A</v>
      </c>
      <c r="BN12" s="114" t="e">
        <f t="shared" si="5"/>
        <v>#N/A</v>
      </c>
    </row>
    <row r="14" spans="1:66" ht="16.5" thickBot="1" x14ac:dyDescent="0.3">
      <c r="B14" t="s">
        <v>164</v>
      </c>
    </row>
    <row r="15" spans="1:66" ht="16.5" thickBot="1" x14ac:dyDescent="0.3">
      <c r="B15" s="115"/>
      <c r="C15" s="115" t="s">
        <v>74</v>
      </c>
      <c r="D15" s="116" t="s">
        <v>75</v>
      </c>
      <c r="E15" s="116" t="s">
        <v>76</v>
      </c>
      <c r="F15" s="116" t="s">
        <v>77</v>
      </c>
      <c r="G15" s="116" t="s">
        <v>78</v>
      </c>
      <c r="H15" s="117" t="s">
        <v>129</v>
      </c>
      <c r="I15" s="124" t="str">
        <f t="shared" ref="I15:I23" si="17">N4</f>
        <v>Temp-WW</v>
      </c>
      <c r="J15" s="137" t="s">
        <v>166</v>
      </c>
      <c r="K15" s="133" t="s">
        <v>9</v>
      </c>
      <c r="L15" s="133" t="s">
        <v>167</v>
      </c>
      <c r="M15" s="81"/>
      <c r="N15" s="115" t="s">
        <v>79</v>
      </c>
      <c r="O15" s="116" t="s">
        <v>80</v>
      </c>
      <c r="P15" s="116" t="s">
        <v>81</v>
      </c>
      <c r="Q15" s="116" t="s">
        <v>82</v>
      </c>
      <c r="R15" s="116" t="s">
        <v>83</v>
      </c>
      <c r="S15" s="117" t="s">
        <v>138</v>
      </c>
      <c r="T15" s="124" t="str">
        <f t="shared" ref="T15:T23" si="18">AC4</f>
        <v>Temp-CW</v>
      </c>
      <c r="U15" s="137" t="s">
        <v>166</v>
      </c>
      <c r="V15" s="133" t="s">
        <v>10</v>
      </c>
      <c r="W15" s="133" t="s">
        <v>167</v>
      </c>
      <c r="X15" s="81"/>
      <c r="Y15" s="122" t="s">
        <v>86</v>
      </c>
      <c r="Z15" s="119" t="s">
        <v>87</v>
      </c>
      <c r="AA15" s="119" t="s">
        <v>88</v>
      </c>
      <c r="AB15" s="119" t="s">
        <v>89</v>
      </c>
      <c r="AC15" s="119" t="s">
        <v>90</v>
      </c>
      <c r="AD15" s="123" t="s">
        <v>0</v>
      </c>
      <c r="AE15" s="6"/>
      <c r="AF15" s="122" t="s">
        <v>91</v>
      </c>
      <c r="AG15" s="119" t="s">
        <v>92</v>
      </c>
      <c r="AH15" s="119" t="s">
        <v>93</v>
      </c>
      <c r="AI15" s="119" t="s">
        <v>94</v>
      </c>
      <c r="AJ15" s="119" t="s">
        <v>95</v>
      </c>
      <c r="AK15" s="123" t="s">
        <v>3</v>
      </c>
      <c r="AL15" s="81"/>
      <c r="AM15" s="118" t="s">
        <v>31</v>
      </c>
      <c r="AN15" s="119" t="s">
        <v>32</v>
      </c>
      <c r="AO15" s="119" t="s">
        <v>33</v>
      </c>
      <c r="AP15" s="119" t="s">
        <v>34</v>
      </c>
      <c r="AQ15" s="120" t="s">
        <v>35</v>
      </c>
      <c r="AR15" s="118" t="s">
        <v>151</v>
      </c>
      <c r="AS15" s="128" t="s">
        <v>152</v>
      </c>
      <c r="AT15" s="120" t="s">
        <v>34</v>
      </c>
      <c r="AU15" s="81"/>
      <c r="AV15" s="118" t="s">
        <v>155</v>
      </c>
      <c r="AW15" s="119" t="s">
        <v>156</v>
      </c>
      <c r="AX15" s="119" t="s">
        <v>157</v>
      </c>
      <c r="AY15" s="119" t="s">
        <v>158</v>
      </c>
      <c r="AZ15" s="120" t="s">
        <v>159</v>
      </c>
      <c r="BA15" s="118" t="s">
        <v>151</v>
      </c>
      <c r="BB15" s="128" t="s">
        <v>152</v>
      </c>
      <c r="BC15" s="120" t="s">
        <v>34</v>
      </c>
      <c r="BD15" s="1"/>
      <c r="BE15" s="1"/>
      <c r="BF15" s="1"/>
      <c r="BG15" s="1"/>
      <c r="BH15" s="81"/>
      <c r="BI15" s="3"/>
      <c r="BJ15" s="3"/>
    </row>
    <row r="16" spans="1:66" x14ac:dyDescent="0.25">
      <c r="A16" t="s">
        <v>130</v>
      </c>
      <c r="B16" s="113"/>
      <c r="C16" s="138">
        <f>IF(AND(Simulator!N$30&gt;=Calculations!K$1,Simulator!N$30&lt;=Calculations!K$2), INDEX(Master_Table[],MATCH(Simulator!$E33,Master_Table[P/N],0),COLUMN(Master_Table[CCT(WW)^4])),"-")</f>
        <v>0</v>
      </c>
      <c r="D16" s="121">
        <f>INDEX(Master_Table[],MATCH(Simulator!$E33,Master_Table[P/N],0),COLUMN(Master_Table[CCT(WW)^3]))</f>
        <v>-2.3379143978853158E-11</v>
      </c>
      <c r="E16" s="121">
        <f>INDEX(Master_Table[],MATCH(Simulator!$E33,Master_Table[P/N],0),COLUMN(Master_Table[CCT(WW)^2]))</f>
        <v>1.5306565289819192E-7</v>
      </c>
      <c r="F16" s="121">
        <f>INDEX(Master_Table[],MATCH(Simulator!$E33,Master_Table[P/N],0),COLUMN(Master_Table[CCT(WW)^1]))</f>
        <v>-7.2586924275767472E-4</v>
      </c>
      <c r="G16" s="121">
        <f>INDEX(Master_Table[],MATCH(Simulator!$E33,Master_Table[P/N],0),COLUMN(Master_Table[CCT(WW)^0]))</f>
        <v>1.9517603165300583</v>
      </c>
      <c r="H16" s="105">
        <f>(C16*D$2^4+D16*D$2^3+E16*D$2^2+F16*D$2^1+G16)</f>
        <v>1.0685772238283597E-3</v>
      </c>
      <c r="I16" s="135">
        <f t="shared" si="17"/>
        <v>0.99999999999999989</v>
      </c>
      <c r="J16" s="113">
        <f>Simulator!N$29/Calculations!I16</f>
        <v>100.00000000000001</v>
      </c>
      <c r="K16" s="130">
        <f>IF(((J16/I16)*H16)&gt;0, ((J16)*H16), "0")</f>
        <v>0.10685772238283599</v>
      </c>
      <c r="L16" s="140">
        <f>K16/INDEX(Master_Table[],MATCH(Simulator!E33,Master_Table[P/N],0),COLUMN(Master_Table[Typical Lumens]))</f>
        <v>3.0530777823667426E-4</v>
      </c>
      <c r="M16" s="83"/>
      <c r="N16" s="138">
        <f>IF(AND(Simulator!N$30&gt;=Calculations!K$1,Simulator!N$30&lt;=Calculations!K$2), INDEX(Master_Table[],MATCH(Simulator!$E33,Master_Table[P/N],0),COLUMN(Master_Table[CCT(CW)^4])),"-")</f>
        <v>0</v>
      </c>
      <c r="O16" s="121">
        <f>INDEX(Master_Table[],MATCH(Simulator!$E33,Master_Table[P/N],0),COLUMN(Master_Table[CCT(CW)^3]))</f>
        <v>2.3279E-11</v>
      </c>
      <c r="P16" s="317">
        <f>INDEX(Master_Table[],MATCH(Simulator!$E33,Master_Table[P/N],0),COLUMN(Master_Table[CCT(CW)^2]))</f>
        <v>-1.5241E-7</v>
      </c>
      <c r="Q16" s="121">
        <f>INDEX(Master_Table[],MATCH(Simulator!$E33,Master_Table[P/N],0),COLUMN(Master_Table[CCT(CW)^1]))</f>
        <v>7.2276000000000003E-4</v>
      </c>
      <c r="R16" s="329">
        <f>INDEX(Master_Table[],MATCH(Simulator!$E33,Master_Table[P/N],0),COLUMN(Master_Table[CCT(CW)^0]))</f>
        <v>-0.94343999999999995</v>
      </c>
      <c r="S16" s="105">
        <f>(N16*D$2^4+O16*D$2^3+P16*D$2^2+Q16*D$2^1+R16)</f>
        <v>0.99889600000000056</v>
      </c>
      <c r="T16" s="135">
        <f t="shared" si="18"/>
        <v>0.99999999999999989</v>
      </c>
      <c r="U16" s="113">
        <f>Simulator!N$29/Calculations!T16</f>
        <v>100.00000000000001</v>
      </c>
      <c r="V16" s="113">
        <f>J16-K16</f>
        <v>99.893142277617173</v>
      </c>
      <c r="W16" s="316">
        <f>V16/INDEX(Master_Table[],MATCH(Simulator!E33,Master_Table[P/N],0),COLUMN(Master_Table[Typical Lumens2]))</f>
        <v>0.1722295556510641</v>
      </c>
      <c r="X16" s="3"/>
      <c r="Y16" s="87">
        <f>INDEX(Master_Table[],MATCH(Simulator!$E33,Master_Table[P/N],0),COLUMN(Master_Table[LOP(WW)^4]))</f>
        <v>0</v>
      </c>
      <c r="Z16" s="83">
        <f>INDEX(Master_Table[],MATCH(Simulator!$E33,Master_Table[P/N],0),COLUMN(Master_Table[LOP(WW)^3]))</f>
        <v>-0.58322485618268016</v>
      </c>
      <c r="AA16" s="83">
        <f>INDEX(Master_Table[],MATCH(Simulator!$E33,Master_Table[P/N],0),COLUMN(Master_Table[LOP(WW)^2]))</f>
        <v>62.805497276614901</v>
      </c>
      <c r="AB16" s="83">
        <f>INDEX(Master_Table[],MATCH(Simulator!$E33,Master_Table[P/N],0),COLUMN(Master_Table[LOP(WW)^1]))</f>
        <v>436.57001680007335</v>
      </c>
      <c r="AC16" s="83">
        <f>INDEX(Master_Table[],MATCH(Simulator!$E33,Master_Table[P/N],0),COLUMN(Master_Table[LOP(WW)^0]))</f>
        <v>0</v>
      </c>
      <c r="AD16" s="88">
        <f>L16^4*Y16+L16^3*Z16+L16^2*AA16+L16^1*AB16+AC16</f>
        <v>0.13329407613611452</v>
      </c>
      <c r="AE16" s="83"/>
      <c r="AF16" s="87">
        <f>INDEX(Master_Table[],MATCH(Simulator!$E33,Master_Table[P/N],0),COLUMN(Master_Table[LOP(CW)^4]))</f>
        <v>0</v>
      </c>
      <c r="AG16" s="83">
        <f>INDEX(Master_Table[],MATCH(Simulator!$E33,Master_Table[P/N],0),COLUMN(Master_Table[LOP(CW)^3]))</f>
        <v>5.2272913958254117</v>
      </c>
      <c r="AH16" s="83">
        <f>INDEX(Master_Table[],MATCH(Simulator!$E33,Master_Table[P/N],0),COLUMN(Master_Table[LOP(CW)^2]))</f>
        <v>18.924918954748463</v>
      </c>
      <c r="AI16" s="83">
        <f>INDEX(Master_Table[],MATCH(Simulator!$E33,Master_Table[P/N],0),COLUMN(Master_Table[LOP(CW)^1]))</f>
        <v>126.05160136775538</v>
      </c>
      <c r="AJ16" s="83">
        <f>INDEX(Master_Table[],MATCH(Simulator!$E33,Master_Table[P/N],0),COLUMN(Master_Table[LOP(CW)^0]))</f>
        <v>0</v>
      </c>
      <c r="AK16" s="88">
        <f>W16^4*AF16+W16^3*AG16+W16^2*AH16+W16^1*AI16+AJ16</f>
        <v>22.297886980083597</v>
      </c>
      <c r="AL16" s="83"/>
      <c r="AM16" s="87">
        <f>INDEX(Master_Table[],MATCH(Simulator!$E33,Master_Table[P/N],0),COLUMN(Master_Table[V^4]))</f>
        <v>0</v>
      </c>
      <c r="AN16" s="83">
        <f>INDEX(Master_Table[],MATCH(Simulator!$E33,Master_Table[P/N],0),COLUMN(Master_Table[V^3]))</f>
        <v>3.4966431835303684E-7</v>
      </c>
      <c r="AO16" s="83">
        <f>INDEX(Master_Table[],MATCH(Simulator!$E33,Master_Table[P/N],0),COLUMN(Master_Table[V^2]))</f>
        <v>-1.5695071931731767E-4</v>
      </c>
      <c r="AP16" s="83">
        <f>INDEX(Master_Table[],MATCH(Simulator!$E33,Master_Table[P/N],0),COLUMN(Master_Table[V]))</f>
        <v>4.9832085208311359E-2</v>
      </c>
      <c r="AQ16" s="88">
        <f>INDEX(Master_Table[],MATCH(Simulator!$E33,Master_Table[P/N],0),COLUMN(Master_Table[V0]))</f>
        <v>31.87646132895145</v>
      </c>
      <c r="AR16" s="113">
        <f>AM16*AD16^4+AN16*AD16^3+AO16*AD16^2+AP16*AD16^1+AQ16</f>
        <v>31.883100862947131</v>
      </c>
      <c r="AS16" s="143">
        <f>(H$1-25)*INDEX(Master_Table[],MATCH(Simulator!$E33,Master_Table[P/N],0),COLUMN(Master_Table[dV/dT (mV/C)]))/1000</f>
        <v>0</v>
      </c>
      <c r="AT16" s="127">
        <f>AR16+AS16</f>
        <v>31.883100862947131</v>
      </c>
      <c r="AU16" s="83"/>
      <c r="AV16" s="87">
        <f>INDEX(Master_Table[],MATCH(Simulator!$E33,Master_Table[P/N],0),COLUMN(Master_Table[V^42]))</f>
        <v>0</v>
      </c>
      <c r="AW16" s="83">
        <f>INDEX(Master_Table[],MATCH(Simulator!$E33,Master_Table[P/N],0),COLUMN(Master_Table[V^32]))</f>
        <v>3.4966431835303684E-7</v>
      </c>
      <c r="AX16" s="83">
        <f>INDEX(Master_Table[],MATCH(Simulator!$E33,Master_Table[P/N],0),COLUMN(Master_Table[V^22]))</f>
        <v>-1.5695071931731767E-4</v>
      </c>
      <c r="AY16" s="83">
        <f>INDEX(Master_Table[],MATCH(Simulator!$E33,Master_Table[P/N],0),COLUMN(Master_Table[V^12]))</f>
        <v>4.9832085208311359E-2</v>
      </c>
      <c r="AZ16" s="88">
        <f>INDEX(Master_Table[],MATCH(Simulator!$E33,Master_Table[P/N],0),COLUMN(Master_Table[V^02]))</f>
        <v>31.87646132895145</v>
      </c>
      <c r="BA16" s="85">
        <f>AV16*AK16^4+AW16*AK16^3+AX16*AK16^2+AY16*AK16^1+AZ16</f>
        <v>32.913452823867672</v>
      </c>
      <c r="BB16" s="127">
        <f>(H$1-25)*INDEX(Master_Table[],MATCH(Simulator!$E33,Master_Table[P/N],0),COLUMN(Master_Table[dV/dT (mV/C)2]))/1000</f>
        <v>0</v>
      </c>
      <c r="BC16" s="127">
        <f>BA16+BB16</f>
        <v>32.913452823867672</v>
      </c>
      <c r="BD16" s="83"/>
      <c r="BE16" s="83"/>
      <c r="BF16" s="83"/>
      <c r="BG16" s="83"/>
      <c r="BH16" s="3"/>
      <c r="BI16" s="3"/>
      <c r="BJ16" s="3"/>
    </row>
    <row r="17" spans="1:62" x14ac:dyDescent="0.25">
      <c r="A17" t="s">
        <v>179</v>
      </c>
      <c r="B17" s="87"/>
      <c r="C17" s="139">
        <f>IF(AND(Simulator!N$30&gt;=Calculations!K$1,Simulator!N$30&lt;=Calculations!K$2), INDEX(Master_Table[],MATCH(Simulator!$E34,Master_Table[P/N],0),COLUMN(Master_Table[CCT(WW)^4])),"-")</f>
        <v>0</v>
      </c>
      <c r="D17" s="5">
        <f>INDEX(Master_Table[],MATCH(Simulator!$E34,Master_Table[P/N],0),COLUMN(Master_Table[CCT(WW)^3]))</f>
        <v>-2.3379143978853158E-11</v>
      </c>
      <c r="E17" s="5">
        <f>INDEX(Master_Table[],MATCH(Simulator!$E34,Master_Table[P/N],0),COLUMN(Master_Table[CCT(WW)^2]))</f>
        <v>1.5306565289819192E-7</v>
      </c>
      <c r="F17" s="5">
        <f>INDEX(Master_Table[],MATCH(Simulator!$E34,Master_Table[P/N],0),COLUMN(Master_Table[CCT(WW)^1]))</f>
        <v>-7.2586924275767472E-4</v>
      </c>
      <c r="G17" s="5">
        <f>INDEX(Master_Table[],MATCH(Simulator!$E34,Master_Table[P/N],0),COLUMN(Master_Table[CCT(WW)^0]))</f>
        <v>1.9517603165300583</v>
      </c>
      <c r="H17" s="86">
        <f>(C17*D$2^4+D17*D$2^3+E17*D$2^2+F17*D$2^1+G17)</f>
        <v>1.0685772238283597E-3</v>
      </c>
      <c r="I17" s="135">
        <f t="shared" si="17"/>
        <v>0.99999999999999978</v>
      </c>
      <c r="J17" s="87">
        <f>Simulator!N$29/Calculations!I17</f>
        <v>100.00000000000003</v>
      </c>
      <c r="K17" s="125">
        <f t="shared" ref="K17:K23" si="19">IF(((J17/I17)*H17)&gt;0, ((J17)*H17), "0")</f>
        <v>0.106857722382836</v>
      </c>
      <c r="L17" s="140">
        <f>K17/INDEX(Master_Table[],MATCH(Simulator!E34,Master_Table[P/N],0),COLUMN(Master_Table[Typical Lumens]))</f>
        <v>1.6190563997399394E-4</v>
      </c>
      <c r="M17" s="145"/>
      <c r="N17" s="139">
        <f>IF(AND(Simulator!N$30&gt;=Calculations!K$1,Simulator!N$30&lt;=Calculations!K$2), INDEX(Master_Table[],MATCH(Simulator!$E34,Master_Table[P/N],0),COLUMN(Master_Table[CCT(CW)^4])),"-")</f>
        <v>0</v>
      </c>
      <c r="O17" s="5">
        <f>INDEX(Master_Table[],MATCH(Simulator!$E34,Master_Table[P/N],0),COLUMN(Master_Table[CCT(CW)^3]))</f>
        <v>2.3279E-11</v>
      </c>
      <c r="P17" s="318">
        <f>INDEX(Master_Table[],MATCH(Simulator!$E34,Master_Table[P/N],0),COLUMN(Master_Table[CCT(CW)^2]))</f>
        <v>-1.5241E-7</v>
      </c>
      <c r="Q17" s="5">
        <f>INDEX(Master_Table[],MATCH(Simulator!$E34,Master_Table[P/N],0),COLUMN(Master_Table[CCT(CW)^1]))</f>
        <v>7.2276000000000003E-4</v>
      </c>
      <c r="R17" s="5">
        <f>INDEX(Master_Table[],MATCH(Simulator!$E34,Master_Table[P/N],0),COLUMN(Master_Table[CCT(CW)^0]))</f>
        <v>-0.94343999999999995</v>
      </c>
      <c r="S17" s="86">
        <f t="shared" ref="S17:S23" si="20">(N17*D$2^4+O17*D$2^3+P17*D$2^2+Q17*D$2^1+R17)</f>
        <v>0.99889600000000056</v>
      </c>
      <c r="T17" s="135">
        <f t="shared" si="18"/>
        <v>1</v>
      </c>
      <c r="U17" s="87">
        <f>Simulator!N$29/Calculations!T17</f>
        <v>100</v>
      </c>
      <c r="V17" s="87">
        <f t="shared" ref="V17:V23" si="21">J17-K17</f>
        <v>99.893142277617187</v>
      </c>
      <c r="W17" s="315">
        <f>V17/INDEX(Master_Table[],MATCH(Simulator!E34,Master_Table[P/N],0),COLUMN(Master_Table[Typical Lumens2]))</f>
        <v>9.4238813469450178E-2</v>
      </c>
      <c r="X17" s="3"/>
      <c r="Y17" s="87">
        <f>INDEX(Master_Table[],MATCH(Simulator!$E34,Master_Table[P/N],0),COLUMN(Master_Table[LOP(WW)^4]))</f>
        <v>0</v>
      </c>
      <c r="Z17" s="145">
        <f>INDEX(Master_Table[],MATCH(Simulator!$E34,Master_Table[P/N],0),COLUMN(Master_Table[LOP(WW)^3]))</f>
        <v>-0.58322485618268016</v>
      </c>
      <c r="AA17" s="145">
        <f>INDEX(Master_Table[],MATCH(Simulator!$E34,Master_Table[P/N],0),COLUMN(Master_Table[LOP(WW)^2]))</f>
        <v>62.805497276614901</v>
      </c>
      <c r="AB17" s="145">
        <f>INDEX(Master_Table[],MATCH(Simulator!$E34,Master_Table[P/N],0),COLUMN(Master_Table[LOP(WW)^1]))</f>
        <v>436.57001680007335</v>
      </c>
      <c r="AC17" s="145">
        <f>INDEX(Master_Table[],MATCH(Simulator!$E34,Master_Table[P/N],0),COLUMN(Master_Table[LOP(WW)^0]))</f>
        <v>0</v>
      </c>
      <c r="AD17" s="88">
        <f>L17^4*Y17+L17^3*Z17+L17^2*AA17+L17^1*AB17+AC17</f>
        <v>7.068479430889725E-2</v>
      </c>
      <c r="AE17" s="145"/>
      <c r="AF17" s="87">
        <f>INDEX(Master_Table[],MATCH(Simulator!$E34,Master_Table[P/N],0),COLUMN(Master_Table[LOP(CW)^4]))</f>
        <v>0</v>
      </c>
      <c r="AG17" s="145">
        <f>INDEX(Master_Table[],MATCH(Simulator!$E34,Master_Table[P/N],0),COLUMN(Master_Table[LOP(CW)^3]))</f>
        <v>0.430948236742003</v>
      </c>
      <c r="AH17" s="145">
        <f>INDEX(Master_Table[],MATCH(Simulator!$E34,Master_Table[P/N],0),COLUMN(Master_Table[LOP(CW)^2]))</f>
        <v>65.687167424128475</v>
      </c>
      <c r="AI17" s="145">
        <f>INDEX(Master_Table[],MATCH(Simulator!$E34,Master_Table[P/N],0),COLUMN(Master_Table[LOP(CW)^1]))</f>
        <v>433.35605621617094</v>
      </c>
      <c r="AJ17" s="145">
        <f>INDEX(Master_Table[],MATCH(Simulator!$E34,Master_Table[P/N],0),COLUMN(Master_Table[LOP(CW)^0]))</f>
        <v>0</v>
      </c>
      <c r="AK17" s="88">
        <f>W17^4*AF17+W17^3*AG17+W17^2*AH17+W17^1*AI17+AJ17</f>
        <v>41.422685931290921</v>
      </c>
      <c r="AL17" s="145"/>
      <c r="AM17" s="87">
        <f>INDEX(Master_Table[],MATCH(Simulator!$E34,Master_Table[P/N],0),COLUMN(Master_Table[V^4]))</f>
        <v>0</v>
      </c>
      <c r="AN17" s="145">
        <f>INDEX(Master_Table[],MATCH(Simulator!$E34,Master_Table[P/N],0),COLUMN(Master_Table[V^3]))</f>
        <v>3.2593806367612429E-9</v>
      </c>
      <c r="AO17" s="145">
        <f>INDEX(Master_Table[],MATCH(Simulator!$E34,Master_Table[P/N],0),COLUMN(Master_Table[V^2]))</f>
        <v>-5.358284875250346E-6</v>
      </c>
      <c r="AP17" s="145">
        <f>INDEX(Master_Table[],MATCH(Simulator!$E34,Master_Table[P/N],0),COLUMN(Master_Table[V]))</f>
        <v>5.7013143736789826E-3</v>
      </c>
      <c r="AQ17" s="88">
        <f>INDEX(Master_Table[],MATCH(Simulator!$E34,Master_Table[P/N],0),COLUMN(Master_Table[V0]))</f>
        <v>15.681491452377943</v>
      </c>
      <c r="AR17" s="87">
        <f>AM17*AD17^4+AN17*AD17^3+AO17*AD17^2+AP17*AD17^1+AQ17</f>
        <v>15.681894421841074</v>
      </c>
      <c r="AS17" s="127">
        <f>(H$1-25)*INDEX(Master_Table[],MATCH(Simulator!$E34,Master_Table[P/N],0),COLUMN(Master_Table[dV/dT (mV/C)]))/1000</f>
        <v>0</v>
      </c>
      <c r="AT17" s="127">
        <f>AR17+AS17</f>
        <v>15.681894421841074</v>
      </c>
      <c r="AU17" s="145"/>
      <c r="AV17" s="87">
        <f>INDEX(Master_Table[],MATCH(Simulator!$E34,Master_Table[P/N],0),COLUMN(Master_Table[V^42]))</f>
        <v>0</v>
      </c>
      <c r="AW17" s="145">
        <f>INDEX(Master_Table[],MATCH(Simulator!$E34,Master_Table[P/N],0),COLUMN(Master_Table[V^32]))</f>
        <v>3.3704958857417395E-9</v>
      </c>
      <c r="AX17" s="145">
        <f>INDEX(Master_Table[],MATCH(Simulator!$E34,Master_Table[P/N],0),COLUMN(Master_Table[V^22]))</f>
        <v>-5.5409536778156982E-6</v>
      </c>
      <c r="AY17" s="145">
        <f>INDEX(Master_Table[],MATCH(Simulator!$E34,Master_Table[P/N],0),COLUMN(Master_Table[V^12]))</f>
        <v>5.8956773636907661E-3</v>
      </c>
      <c r="AZ17" s="88">
        <f>INDEX(Master_Table[],MATCH(Simulator!$E34,Master_Table[P/N],0),COLUMN(Master_Table[V^02]))</f>
        <v>16.216087751890825</v>
      </c>
      <c r="BA17" s="85">
        <f>AV17*AK17^4+AW17*AK17^3+AX17*AK17^2+AY17*AK17^1+AZ17</f>
        <v>16.451034716598151</v>
      </c>
      <c r="BB17" s="127">
        <f>(H$1-25)*INDEX(Master_Table[],MATCH(Simulator!$E34,Master_Table[P/N],0),COLUMN(Master_Table[dV/dT (mV/C)2]))/1000</f>
        <v>0</v>
      </c>
      <c r="BC17" s="127">
        <f>BA17+BB17</f>
        <v>16.451034716598151</v>
      </c>
      <c r="BD17" s="145"/>
      <c r="BE17" s="145"/>
      <c r="BF17" s="145"/>
      <c r="BG17" s="145"/>
      <c r="BH17" s="3"/>
      <c r="BI17" s="3"/>
      <c r="BJ17" s="3"/>
    </row>
    <row r="18" spans="1:62" x14ac:dyDescent="0.25">
      <c r="A18" t="s">
        <v>180</v>
      </c>
      <c r="B18" s="87"/>
      <c r="C18" s="139">
        <f>IF(AND(Simulator!N$30&gt;=Calculations!K$1,Simulator!N$30&lt;=Calculations!K$2), INDEX(Master_Table[],MATCH(Simulator!$E35,Master_Table[P/N],0),COLUMN(Master_Table[CCT(WW)^4])),"-")</f>
        <v>0</v>
      </c>
      <c r="D18" s="5">
        <f>INDEX(Master_Table[],MATCH(Simulator!$E35,Master_Table[P/N],0),COLUMN(Master_Table[CCT(WW)^3]))</f>
        <v>-2.3379143978853158E-11</v>
      </c>
      <c r="E18" s="5">
        <f>INDEX(Master_Table[],MATCH(Simulator!$E35,Master_Table[P/N],0),COLUMN(Master_Table[CCT(WW)^2]))</f>
        <v>1.5306565289819192E-7</v>
      </c>
      <c r="F18" s="5">
        <f>INDEX(Master_Table[],MATCH(Simulator!$E35,Master_Table[P/N],0),COLUMN(Master_Table[CCT(WW)^1]))</f>
        <v>-7.2586924275767472E-4</v>
      </c>
      <c r="G18" s="5">
        <f>INDEX(Master_Table[],MATCH(Simulator!$E35,Master_Table[P/N],0),COLUMN(Master_Table[CCT(WW)^0]))</f>
        <v>1.9517603165300583</v>
      </c>
      <c r="H18" s="86">
        <f t="shared" ref="H18:H23" si="22">(C18*D$2^4+D18*D$2^3+E18*D$2^2+F18*D$2^1+G18)</f>
        <v>1.0685772238283597E-3</v>
      </c>
      <c r="I18" s="135">
        <f t="shared" si="17"/>
        <v>0.99999999999999989</v>
      </c>
      <c r="J18" s="87">
        <f>Simulator!N$29/Calculations!I18</f>
        <v>100.00000000000001</v>
      </c>
      <c r="K18" s="125">
        <f t="shared" si="19"/>
        <v>0.10685772238283599</v>
      </c>
      <c r="L18" s="140">
        <f>K18/INDEX(Master_Table[],MATCH(Simulator!E35,Master_Table[P/N],0),COLUMN(Master_Table[Typical Lumens]))</f>
        <v>1.5265388911833713E-4</v>
      </c>
      <c r="M18" s="83"/>
      <c r="N18" s="139">
        <f>IF(AND(Simulator!N$30&gt;=Calculations!K$1,Simulator!N$30&lt;=Calculations!K$2), INDEX(Master_Table[],MATCH(Simulator!$E35,Master_Table[P/N],0),COLUMN(Master_Table[CCT(CW)^4])),"-")</f>
        <v>0</v>
      </c>
      <c r="O18" s="5">
        <f>INDEX(Master_Table[],MATCH(Simulator!$E35,Master_Table[P/N],0),COLUMN(Master_Table[CCT(CW)^3]))</f>
        <v>2.3279E-11</v>
      </c>
      <c r="P18" s="318">
        <f>INDEX(Master_Table[],MATCH(Simulator!$E35,Master_Table[P/N],0),COLUMN(Master_Table[CCT(CW)^2]))</f>
        <v>-1.5241E-7</v>
      </c>
      <c r="Q18" s="5">
        <f>INDEX(Master_Table[],MATCH(Simulator!$E35,Master_Table[P/N],0),COLUMN(Master_Table[CCT(CW)^1]))</f>
        <v>7.2276000000000003E-4</v>
      </c>
      <c r="R18" s="5">
        <f>INDEX(Master_Table[],MATCH(Simulator!$E35,Master_Table[P/N],0),COLUMN(Master_Table[CCT(CW)^0]))</f>
        <v>-0.94343999999999995</v>
      </c>
      <c r="S18" s="86">
        <f t="shared" si="20"/>
        <v>0.99889600000000056</v>
      </c>
      <c r="T18" s="135">
        <f t="shared" si="18"/>
        <v>1.0041549687499998</v>
      </c>
      <c r="U18" s="87">
        <f>Simulator!N$29/Calculations!T18</f>
        <v>99.58622235817127</v>
      </c>
      <c r="V18" s="87">
        <f t="shared" si="21"/>
        <v>99.893142277617173</v>
      </c>
      <c r="W18" s="315">
        <f>V18/INDEX(Master_Table[],MATCH(Simulator!E35,Master_Table[P/N],0),COLUMN(Master_Table[Typical Lumens2]))</f>
        <v>9.0811947525106518E-2</v>
      </c>
      <c r="X18" s="3"/>
      <c r="Y18" s="87">
        <f>INDEX(Master_Table[],MATCH(Simulator!$E35,Master_Table[P/N],0),COLUMN(Master_Table[LOP(WW)^4]))</f>
        <v>0</v>
      </c>
      <c r="Z18" s="83">
        <f>INDEX(Master_Table[],MATCH(Simulator!$E35,Master_Table[P/N],0),COLUMN(Master_Table[LOP(WW)^3]))</f>
        <v>-0.31734822938008145</v>
      </c>
      <c r="AA18" s="83">
        <f>INDEX(Master_Table[],MATCH(Simulator!$E35,Master_Table[P/N],0),COLUMN(Master_Table[LOP(WW)^2]))</f>
        <v>31.862457688400109</v>
      </c>
      <c r="AB18" s="83">
        <f>INDEX(Master_Table[],MATCH(Simulator!$E35,Master_Table[P/N],0),COLUMN(Master_Table[LOP(WW)^1]))</f>
        <v>218.54687260028666</v>
      </c>
      <c r="AC18" s="83">
        <f>INDEX(Master_Table[],MATCH(Simulator!$E35,Master_Table[P/N],0),COLUMN(Master_Table[LOP(WW)^0]))</f>
        <v>0</v>
      </c>
      <c r="AD18" s="88">
        <f>L18^4*Y18+L18^3*Z18+L18^2*AA18+L18^1*AB18+AC18</f>
        <v>3.3362772553492862E-2</v>
      </c>
      <c r="AE18" s="83"/>
      <c r="AF18" s="87">
        <f>INDEX(Master_Table[],MATCH(Simulator!$E35,Master_Table[P/N],0),COLUMN(Master_Table[LOP(CW)^4]))</f>
        <v>0</v>
      </c>
      <c r="AG18" s="83">
        <f>INDEX(Master_Table[],MATCH(Simulator!$E35,Master_Table[P/N],0),COLUMN(Master_Table[LOP(CW)^3]))</f>
        <v>4.7886421912319479</v>
      </c>
      <c r="AH18" s="83">
        <f>INDEX(Master_Table[],MATCH(Simulator!$E35,Master_Table[P/N],0),COLUMN(Master_Table[LOP(CW)^2]))</f>
        <v>15.38909968854859</v>
      </c>
      <c r="AI18" s="83">
        <f>INDEX(Master_Table[],MATCH(Simulator!$E35,Master_Table[P/N],0),COLUMN(Master_Table[LOP(CW)^1]))</f>
        <v>229.67641242994992</v>
      </c>
      <c r="AJ18" s="83">
        <f>INDEX(Master_Table[],MATCH(Simulator!$E35,Master_Table[P/N],0),COLUMN(Master_Table[LOP(CW)^0]))</f>
        <v>0</v>
      </c>
      <c r="AK18" s="88">
        <f>W18^4*AF18+W18^3*AG18+W18^2*AH18+W18^1*AI18+AJ18</f>
        <v>20.987859548237207</v>
      </c>
      <c r="AL18" s="83"/>
      <c r="AM18" s="87">
        <f>INDEX(Master_Table[],MATCH(Simulator!$E35,Master_Table[P/N],0),COLUMN(Master_Table[V^4]))</f>
        <v>0</v>
      </c>
      <c r="AN18" s="83">
        <f>INDEX(Master_Table[],MATCH(Simulator!$E35,Master_Table[P/N],0),COLUMN(Master_Table[V^3]))</f>
        <v>1.4157327176128433E-8</v>
      </c>
      <c r="AO18" s="83">
        <f>INDEX(Master_Table[],MATCH(Simulator!$E35,Master_Table[P/N],0),COLUMN(Master_Table[V^2]))</f>
        <v>-1.7559789937735926E-5</v>
      </c>
      <c r="AP18" s="83">
        <f>INDEX(Master_Table[],MATCH(Simulator!$E35,Master_Table[P/N],0),COLUMN(Master_Table[V]))</f>
        <v>1.8034269250141264E-2</v>
      </c>
      <c r="AQ18" s="88">
        <f>INDEX(Master_Table[],MATCH(Simulator!$E35,Master_Table[P/N],0),COLUMN(Master_Table[V0]))</f>
        <v>31.467711321446174</v>
      </c>
      <c r="AR18" s="87">
        <f>AM18*AD18^4+AN18*AD18^3+AO18*AD18^2+AP18*AD18^1+AQ18</f>
        <v>31.468312975124505</v>
      </c>
      <c r="AS18" s="127">
        <f>(H$1-25)*INDEX(Master_Table[],MATCH(Simulator!$E35,Master_Table[P/N],0),COLUMN(Master_Table[dV/dT (mV/C)]))/1000</f>
        <v>0</v>
      </c>
      <c r="AT18" s="127">
        <f>AR18+AS18</f>
        <v>31.468312975124505</v>
      </c>
      <c r="AU18" s="83"/>
      <c r="AV18" s="87">
        <f>INDEX(Master_Table[],MATCH(Simulator!$E35,Master_Table[P/N],0),COLUMN(Master_Table[V^42]))</f>
        <v>0</v>
      </c>
      <c r="AW18" s="83">
        <f>INDEX(Master_Table[],MATCH(Simulator!$E35,Master_Table[P/N],0),COLUMN(Master_Table[V^32]))</f>
        <v>1.4157327176128433E-8</v>
      </c>
      <c r="AX18" s="83">
        <f>INDEX(Master_Table[],MATCH(Simulator!$E35,Master_Table[P/N],0),COLUMN(Master_Table[V^22]))</f>
        <v>-1.7559789937735926E-5</v>
      </c>
      <c r="AY18" s="83">
        <f>INDEX(Master_Table[],MATCH(Simulator!$E35,Master_Table[P/N],0),COLUMN(Master_Table[V^12]))</f>
        <v>1.8034269250141264E-2</v>
      </c>
      <c r="AZ18" s="88">
        <f>INDEX(Master_Table[],MATCH(Simulator!$E35,Master_Table[P/N],0),COLUMN(Master_Table[V^02]))</f>
        <v>31.467711321446174</v>
      </c>
      <c r="BA18" s="85">
        <f>AV18*AK18^4+AW18*AK18^3+AX18*AK18^2+AY18*AK18^1+AZ18</f>
        <v>31.838607999037421</v>
      </c>
      <c r="BB18" s="127">
        <f>(H$1-25)*INDEX(Master_Table[],MATCH(Simulator!$E35,Master_Table[P/N],0),COLUMN(Master_Table[dV/dT (mV/C)2]))/1000</f>
        <v>0</v>
      </c>
      <c r="BC18" s="127">
        <f>BA18+BB18</f>
        <v>31.838607999037421</v>
      </c>
      <c r="BD18" s="83"/>
      <c r="BE18" s="83"/>
      <c r="BF18" s="83"/>
      <c r="BG18" s="83"/>
      <c r="BH18" s="3"/>
      <c r="BI18" s="3"/>
      <c r="BJ18" s="3"/>
    </row>
    <row r="19" spans="1:62" x14ac:dyDescent="0.25">
      <c r="A19" t="s">
        <v>118</v>
      </c>
      <c r="B19" s="87"/>
      <c r="C19" s="139">
        <f>IF(AND(Simulator!N$30&gt;=Calculations!K$1,Simulator!N$30&lt;=Calculations!K$2), INDEX(Master_Table[],MATCH(Simulator!$E36,Master_Table[P/N],0),COLUMN(Master_Table[CCT(WW)^4])),"-")</f>
        <v>0</v>
      </c>
      <c r="D19" s="5">
        <f>INDEX(Master_Table[],MATCH(Simulator!$E36,Master_Table[P/N],0),COLUMN(Master_Table[CCT(WW)^3]))</f>
        <v>-2.3379143978853158E-11</v>
      </c>
      <c r="E19" s="5">
        <f>INDEX(Master_Table[],MATCH(Simulator!$E36,Master_Table[P/N],0),COLUMN(Master_Table[CCT(WW)^2]))</f>
        <v>1.5306565289819192E-7</v>
      </c>
      <c r="F19" s="5">
        <f>INDEX(Master_Table[],MATCH(Simulator!$E36,Master_Table[P/N],0),COLUMN(Master_Table[CCT(WW)^1]))</f>
        <v>-7.2586924275767472E-4</v>
      </c>
      <c r="G19" s="5">
        <f>INDEX(Master_Table[],MATCH(Simulator!$E36,Master_Table[P/N],0),COLUMN(Master_Table[CCT(WW)^0]))</f>
        <v>1.9517603165300583</v>
      </c>
      <c r="H19" s="132">
        <f>(C19*D$2^4+D19*D$2^3+E19*D$2^2+F19*D$2^1+G19)</f>
        <v>1.0685772238283597E-3</v>
      </c>
      <c r="I19" s="135">
        <f t="shared" si="17"/>
        <v>0.99999999999999989</v>
      </c>
      <c r="J19" s="136">
        <f>Simulator!N$29/Calculations!I19</f>
        <v>100.00000000000001</v>
      </c>
      <c r="K19" s="134">
        <f t="shared" si="19"/>
        <v>0.10685772238283599</v>
      </c>
      <c r="L19" s="213">
        <f>K19/INDEX(Master_Table[],MATCH(Simulator!E36,Master_Table[P/N],0),COLUMN(Master_Table[Typical Lumens]))</f>
        <v>7.9153868431730356E-5</v>
      </c>
      <c r="M19" s="83"/>
      <c r="N19" s="139">
        <f>IF(AND(Simulator!N$30&gt;=Calculations!K$1,Simulator!N$30&lt;=Calculations!K$2), INDEX(Master_Table[],MATCH(Simulator!$E36,Master_Table[P/N],0),COLUMN(Master_Table[CCT(CW)^4])),"-")</f>
        <v>0</v>
      </c>
      <c r="O19" s="5">
        <f>INDEX(Master_Table[],MATCH(Simulator!$E36,Master_Table[P/N],0),COLUMN(Master_Table[CCT(CW)^3]))</f>
        <v>2.3279E-11</v>
      </c>
      <c r="P19" s="318">
        <f>INDEX(Master_Table[],MATCH(Simulator!$E36,Master_Table[P/N],0),COLUMN(Master_Table[CCT(CW)^2]))</f>
        <v>-1.5241E-7</v>
      </c>
      <c r="Q19" s="5">
        <f>INDEX(Master_Table[],MATCH(Simulator!$E36,Master_Table[P/N],0),COLUMN(Master_Table[CCT(CW)^1]))</f>
        <v>7.2276000000000003E-4</v>
      </c>
      <c r="R19" s="5">
        <f>INDEX(Master_Table[],MATCH(Simulator!$E36,Master_Table[P/N],0),COLUMN(Master_Table[CCT(CW)^0]))</f>
        <v>-0.94343999999999995</v>
      </c>
      <c r="S19" s="132">
        <f t="shared" si="20"/>
        <v>0.99889600000000056</v>
      </c>
      <c r="T19" s="135">
        <f t="shared" si="18"/>
        <v>1</v>
      </c>
      <c r="U19" s="136">
        <f>Simulator!N$29/Calculations!T19</f>
        <v>100</v>
      </c>
      <c r="V19" s="136">
        <f t="shared" si="21"/>
        <v>99.893142277617173</v>
      </c>
      <c r="W19" s="315">
        <f>V19/INDEX(Master_Table[],MATCH(Simulator!E36,Master_Table[P/N],0),COLUMN(Master_Table[Typical Lumens2]))</f>
        <v>4.7119406734725082E-2</v>
      </c>
      <c r="X19" s="82"/>
      <c r="Y19" s="87">
        <f>INDEX(Master_Table[],MATCH(Simulator!$E36,Master_Table[P/N],0),COLUMN(Master_Table[LOP(WW)^4]))</f>
        <v>0</v>
      </c>
      <c r="Z19" s="83">
        <f>INDEX(Master_Table[],MATCH(Simulator!$E36,Master_Table[P/N],0),COLUMN(Master_Table[LOP(WW)^3]))</f>
        <v>9.9023890072546941</v>
      </c>
      <c r="AA19" s="83">
        <f>INDEX(Master_Table[],MATCH(Simulator!$E36,Master_Table[P/N],0),COLUMN(Master_Table[LOP(WW)^2]))</f>
        <v>40.116667853526586</v>
      </c>
      <c r="AB19" s="83">
        <f>INDEX(Master_Table[],MATCH(Simulator!$E36,Master_Table[P/N],0),COLUMN(Master_Table[LOP(WW)^1]))</f>
        <v>449.65649506180227</v>
      </c>
      <c r="AC19" s="83">
        <f>INDEX(Master_Table[],MATCH(Simulator!$E36,Master_Table[P/N],0),COLUMN(Master_Table[LOP(WW)^0]))</f>
        <v>0</v>
      </c>
      <c r="AD19" s="88">
        <f>L19^4*Y19+L19^3*Z19+L19^2*AA19+L19^1*AB19+AC19</f>
        <v>3.5592302398864441E-2</v>
      </c>
      <c r="AE19" s="83"/>
      <c r="AF19" s="87">
        <f>INDEX(Master_Table[],MATCH(Simulator!$E36,Master_Table[P/N],0),COLUMN(Master_Table[LOP(CW)^4]))</f>
        <v>0</v>
      </c>
      <c r="AG19" s="83">
        <f>INDEX(Master_Table[],MATCH(Simulator!$E36,Master_Table[P/N],0),COLUMN(Master_Table[LOP(CW)^3]))</f>
        <v>13.126470051537975</v>
      </c>
      <c r="AH19" s="83">
        <f>INDEX(Master_Table[],MATCH(Simulator!$E36,Master_Table[P/N],0),COLUMN(Master_Table[LOP(CW)^2]))</f>
        <v>37.54855503068508</v>
      </c>
      <c r="AI19" s="83">
        <f>INDEX(Master_Table[],MATCH(Simulator!$E36,Master_Table[P/N],0),COLUMN(Master_Table[LOP(CW)^1]))</f>
        <v>449.23055182483802</v>
      </c>
      <c r="AJ19" s="83">
        <f>INDEX(Master_Table[],MATCH(Simulator!$E36,Master_Table[P/N],0),COLUMN(Master_Table[LOP(CW)^0]))</f>
        <v>0</v>
      </c>
      <c r="AK19" s="88">
        <f>W19^4*AF19+W19^3*AG19+W19^2*AH19+W19^1*AI19+AJ19</f>
        <v>21.252217079259353</v>
      </c>
      <c r="AL19" s="83"/>
      <c r="AM19" s="87">
        <f>INDEX(Master_Table[],MATCH(Simulator!$E36,Master_Table[P/N],0),COLUMN(Master_Table[V^4]))</f>
        <v>0</v>
      </c>
      <c r="AN19" s="83">
        <f>INDEX(Master_Table[],MATCH(Simulator!$E36,Master_Table[P/N],0),COLUMN(Master_Table[V^3]))</f>
        <v>6.3134022010016826E-9</v>
      </c>
      <c r="AO19" s="83">
        <f>INDEX(Master_Table[],MATCH(Simulator!$E36,Master_Table[P/N],0),COLUMN(Master_Table[V^2]))</f>
        <v>-1.0989357211375907E-5</v>
      </c>
      <c r="AP19" s="83">
        <f>INDEX(Master_Table[],MATCH(Simulator!$E36,Master_Table[P/N],0),COLUMN(Master_Table[V]))</f>
        <v>1.436062905044014E-2</v>
      </c>
      <c r="AQ19" s="88">
        <f>INDEX(Master_Table[],MATCH(Simulator!$E36,Master_Table[P/N],0),COLUMN(Master_Table[V0]))</f>
        <v>29.9778495024987</v>
      </c>
      <c r="AR19" s="87">
        <f t="shared" ref="AR19:AR23" si="23">AM19*AD19^4+AN19*AD19^3+AO19*AD19^2+AP19*AD19^1+AQ19</f>
        <v>29.978360616429335</v>
      </c>
      <c r="AS19" s="127">
        <f>(H$1-25)*INDEX(Master_Table[],MATCH(Simulator!$E36,Master_Table[P/N],0),COLUMN(Master_Table[dV/dT (mV/C)]))/1000</f>
        <v>0</v>
      </c>
      <c r="AT19" s="127">
        <f t="shared" ref="AT19:AT23" si="24">AR19+AS19</f>
        <v>29.978360616429335</v>
      </c>
      <c r="AU19" s="83"/>
      <c r="AV19" s="87">
        <f>INDEX(Master_Table[],MATCH(Simulator!$E36,Master_Table[P/N],0),COLUMN(Master_Table[V^42]))</f>
        <v>0</v>
      </c>
      <c r="AW19" s="83">
        <f>INDEX(Master_Table[],MATCH(Simulator!$E36,Master_Table[P/N],0),COLUMN(Master_Table[V^32]))</f>
        <v>6.5106960197829841E-9</v>
      </c>
      <c r="AX19" s="83">
        <f>INDEX(Master_Table[],MATCH(Simulator!$E36,Master_Table[P/N],0),COLUMN(Master_Table[V^22]))</f>
        <v>-1.1332774624231401E-5</v>
      </c>
      <c r="AY19" s="83">
        <f>INDEX(Master_Table[],MATCH(Simulator!$E36,Master_Table[P/N],0),COLUMN(Master_Table[V^12]))</f>
        <v>1.4809398708266391E-2</v>
      </c>
      <c r="AZ19" s="88">
        <f>INDEX(Master_Table[],MATCH(Simulator!$E36,Master_Table[P/N],0),COLUMN(Master_Table[V^02]))</f>
        <v>30.914657299451779</v>
      </c>
      <c r="BA19" s="129">
        <f t="shared" ref="BA19:BA23" si="25">AV19*AK19^4+AW19*AK19^3+AX19*AK19^2+AY19*AK19^1+AZ19</f>
        <v>31.224333825938398</v>
      </c>
      <c r="BB19" s="127">
        <f>(H$1-25)*INDEX(Master_Table[],MATCH(Simulator!$E36,Master_Table[P/N],0),COLUMN(Master_Table[dV/dT (mV/C)2]))/1000</f>
        <v>0</v>
      </c>
      <c r="BC19" s="127">
        <f t="shared" ref="BC19:BC23" si="26">BA19+BB19</f>
        <v>31.224333825938398</v>
      </c>
      <c r="BD19" s="83"/>
      <c r="BE19" s="83"/>
      <c r="BF19" s="83"/>
      <c r="BG19" s="83"/>
      <c r="BH19" s="82"/>
      <c r="BI19" s="3"/>
      <c r="BJ19" s="3"/>
    </row>
    <row r="20" spans="1:62" x14ac:dyDescent="0.25">
      <c r="A20" t="s">
        <v>131</v>
      </c>
      <c r="B20" s="87"/>
      <c r="C20" s="139" t="e">
        <f>IF(AND(Simulator!N$30&gt;=Calculations!K$1,Simulator!N$30&lt;=Calculations!K$2), INDEX(Master_Table[],MATCH(Simulator!$E37,Master_Table[P/N],0),COLUMN(Master_Table[CCT(WW)^4])),"-")</f>
        <v>#N/A</v>
      </c>
      <c r="D20" s="5" t="e">
        <f>INDEX(Master_Table[],MATCH(Simulator!$E37,Master_Table[P/N],0),COLUMN(Master_Table[CCT(WW)^3]))</f>
        <v>#N/A</v>
      </c>
      <c r="E20" s="5" t="e">
        <f>INDEX(Master_Table[],MATCH(Simulator!$E37,Master_Table[P/N],0),COLUMN(Master_Table[CCT(WW)^2]))</f>
        <v>#N/A</v>
      </c>
      <c r="F20" s="5" t="e">
        <f>INDEX(Master_Table[],MATCH(Simulator!$E37,Master_Table[P/N],0),COLUMN(Master_Table[CCT(WW)^1]))</f>
        <v>#N/A</v>
      </c>
      <c r="G20" s="5" t="e">
        <f>INDEX(Master_Table[],MATCH(Simulator!$E37,Master_Table[P/N],0),COLUMN(Master_Table[CCT(WW)^0]))</f>
        <v>#N/A</v>
      </c>
      <c r="H20" s="86" t="e">
        <f t="shared" si="22"/>
        <v>#N/A</v>
      </c>
      <c r="I20" s="135" t="e">
        <f t="shared" si="17"/>
        <v>#N/A</v>
      </c>
      <c r="J20" s="87" t="e">
        <f>Simulator!N$29/Calculations!I20</f>
        <v>#N/A</v>
      </c>
      <c r="K20" s="125" t="e">
        <f t="shared" si="19"/>
        <v>#N/A</v>
      </c>
      <c r="L20" s="140" t="e">
        <f>K20/INDEX(Master_Table[],MATCH(Simulator!E37,Master_Table[P/N],0),COLUMN(Master_Table[Typical Lumens]))</f>
        <v>#N/A</v>
      </c>
      <c r="M20" s="83"/>
      <c r="N20" s="139" t="e">
        <f>IF(AND(Simulator!N$30&gt;=Calculations!K$1,Simulator!N$30&lt;=Calculations!K$2), INDEX(Master_Table[],MATCH(Simulator!$E37,Master_Table[P/N],0),COLUMN(Master_Table[CCT(CW)^4])),"-")</f>
        <v>#N/A</v>
      </c>
      <c r="O20" s="5" t="e">
        <f>INDEX(Master_Table[],MATCH(Simulator!$E37,Master_Table[P/N],0),COLUMN(Master_Table[CCT(CW)^3]))</f>
        <v>#N/A</v>
      </c>
      <c r="P20" s="318" t="e">
        <f>INDEX(Master_Table[],MATCH(Simulator!$E37,Master_Table[P/N],0),COLUMN(Master_Table[CCT(CW)^2]))</f>
        <v>#N/A</v>
      </c>
      <c r="Q20" s="5" t="e">
        <f>INDEX(Master_Table[],MATCH(Simulator!$E37,Master_Table[P/N],0),COLUMN(Master_Table[CCT(CW)^1]))</f>
        <v>#N/A</v>
      </c>
      <c r="R20" s="5" t="e">
        <f>INDEX(Master_Table[],MATCH(Simulator!$E37,Master_Table[P/N],0),COLUMN(Master_Table[CCT(CW)^0]))</f>
        <v>#N/A</v>
      </c>
      <c r="S20" s="86" t="e">
        <f t="shared" si="20"/>
        <v>#N/A</v>
      </c>
      <c r="T20" s="135" t="e">
        <f t="shared" si="18"/>
        <v>#N/A</v>
      </c>
      <c r="U20" s="87" t="e">
        <f>Simulator!N$29/Calculations!T20</f>
        <v>#N/A</v>
      </c>
      <c r="V20" s="87" t="e">
        <f t="shared" si="21"/>
        <v>#N/A</v>
      </c>
      <c r="W20" s="315" t="e">
        <f>V20/INDEX(Master_Table[],MATCH(Simulator!E37,Master_Table[P/N],0),COLUMN(Master_Table[Typical Lumens2]))</f>
        <v>#N/A</v>
      </c>
      <c r="X20" s="3"/>
      <c r="Y20" s="87" t="e">
        <f>INDEX(Master_Table[],MATCH(Simulator!$E37,Master_Table[P/N],0),COLUMN(Master_Table[LOP(WW)^4]))</f>
        <v>#N/A</v>
      </c>
      <c r="Z20" s="83" t="e">
        <f>INDEX(Master_Table[],MATCH(Simulator!$E37,Master_Table[P/N],0),COLUMN(Master_Table[LOP(WW)^3]))</f>
        <v>#N/A</v>
      </c>
      <c r="AA20" s="83" t="e">
        <f>INDEX(Master_Table[],MATCH(Simulator!$E37,Master_Table[P/N],0),COLUMN(Master_Table[LOP(WW)^2]))</f>
        <v>#N/A</v>
      </c>
      <c r="AB20" s="83" t="e">
        <f>INDEX(Master_Table[],MATCH(Simulator!$E37,Master_Table[P/N],0),COLUMN(Master_Table[LOP(WW)^1]))</f>
        <v>#N/A</v>
      </c>
      <c r="AC20" s="83" t="e">
        <f>INDEX(Master_Table[],MATCH(Simulator!$E37,Master_Table[P/N],0),COLUMN(Master_Table[LOP(WW)^0]))</f>
        <v>#N/A</v>
      </c>
      <c r="AD20" s="88" t="e">
        <f t="shared" ref="AD20:AD23" si="27">L20^4*Y20+L20^3*Z20+L20^2*AA20+L20^1*AB20+AC20</f>
        <v>#N/A</v>
      </c>
      <c r="AE20" s="83"/>
      <c r="AF20" s="87" t="e">
        <f>INDEX(Master_Table[],MATCH(Simulator!$E37,Master_Table[P/N],0),COLUMN(Master_Table[LOP(CW)^4]))</f>
        <v>#N/A</v>
      </c>
      <c r="AG20" s="83" t="e">
        <f>INDEX(Master_Table[],MATCH(Simulator!$E37,Master_Table[P/N],0),COLUMN(Master_Table[LOP(CW)^3]))</f>
        <v>#N/A</v>
      </c>
      <c r="AH20" s="83" t="e">
        <f>INDEX(Master_Table[],MATCH(Simulator!$E37,Master_Table[P/N],0),COLUMN(Master_Table[LOP(CW)^2]))</f>
        <v>#N/A</v>
      </c>
      <c r="AI20" s="83" t="e">
        <f>INDEX(Master_Table[],MATCH(Simulator!$E37,Master_Table[P/N],0),COLUMN(Master_Table[LOP(CW)^1]))</f>
        <v>#N/A</v>
      </c>
      <c r="AJ20" s="83" t="e">
        <f>INDEX(Master_Table[],MATCH(Simulator!$E37,Master_Table[P/N],0),COLUMN(Master_Table[LOP(CW)^0]))</f>
        <v>#N/A</v>
      </c>
      <c r="AK20" s="88" t="e">
        <f t="shared" ref="AK20:AK23" si="28">W20^4*AF20+W20^3*AG20+W20^2*AH20+W20^1*AI20+AJ20</f>
        <v>#N/A</v>
      </c>
      <c r="AL20" s="83"/>
      <c r="AM20" s="87" t="e">
        <f>INDEX(Master_Table[],MATCH(Simulator!$E37,Master_Table[P/N],0),COLUMN(Master_Table[V^4]))</f>
        <v>#N/A</v>
      </c>
      <c r="AN20" s="83" t="e">
        <f>INDEX(Master_Table[],MATCH(Simulator!$E37,Master_Table[P/N],0),COLUMN(Master_Table[V^3]))</f>
        <v>#N/A</v>
      </c>
      <c r="AO20" s="83" t="e">
        <f>INDEX(Master_Table[],MATCH(Simulator!$E37,Master_Table[P/N],0),COLUMN(Master_Table[V^2]))</f>
        <v>#N/A</v>
      </c>
      <c r="AP20" s="83" t="e">
        <f>INDEX(Master_Table[],MATCH(Simulator!$E37,Master_Table[P/N],0),COLUMN(Master_Table[V]))</f>
        <v>#N/A</v>
      </c>
      <c r="AQ20" s="88" t="e">
        <f>INDEX(Master_Table[],MATCH(Simulator!$E37,Master_Table[P/N],0),COLUMN(Master_Table[V0]))</f>
        <v>#N/A</v>
      </c>
      <c r="AR20" s="87" t="e">
        <f t="shared" si="23"/>
        <v>#N/A</v>
      </c>
      <c r="AS20" s="127" t="e">
        <f>(H$1-25)*INDEX(Master_Table[],MATCH(Simulator!$E37,Master_Table[P/N],0),COLUMN(Master_Table[dV/dT (mV/C)]))/1000</f>
        <v>#N/A</v>
      </c>
      <c r="AT20" s="127" t="e">
        <f t="shared" si="24"/>
        <v>#N/A</v>
      </c>
      <c r="AU20" s="83"/>
      <c r="AV20" s="87" t="e">
        <f>INDEX(Master_Table[],MATCH(Simulator!$E37,Master_Table[P/N],0),COLUMN(Master_Table[V^42]))</f>
        <v>#N/A</v>
      </c>
      <c r="AW20" s="83" t="e">
        <f>INDEX(Master_Table[],MATCH(Simulator!$E37,Master_Table[P/N],0),COLUMN(Master_Table[V^32]))</f>
        <v>#N/A</v>
      </c>
      <c r="AX20" s="83" t="e">
        <f>INDEX(Master_Table[],MATCH(Simulator!$E37,Master_Table[P/N],0),COLUMN(Master_Table[V^22]))</f>
        <v>#N/A</v>
      </c>
      <c r="AY20" s="83" t="e">
        <f>INDEX(Master_Table[],MATCH(Simulator!$E37,Master_Table[P/N],0),COLUMN(Master_Table[V^12]))</f>
        <v>#N/A</v>
      </c>
      <c r="AZ20" s="88" t="e">
        <f>INDEX(Master_Table[],MATCH(Simulator!$E37,Master_Table[P/N],0),COLUMN(Master_Table[V^02]))</f>
        <v>#N/A</v>
      </c>
      <c r="BA20" s="85" t="e">
        <f t="shared" si="25"/>
        <v>#N/A</v>
      </c>
      <c r="BB20" s="127" t="e">
        <f>(H$1-25)*INDEX(Master_Table[],MATCH(Simulator!$E37,Master_Table[P/N],0),COLUMN(Master_Table[dV/dT (mV/C)2]))/1000</f>
        <v>#N/A</v>
      </c>
      <c r="BC20" s="127" t="e">
        <f t="shared" si="26"/>
        <v>#N/A</v>
      </c>
      <c r="BD20" s="83"/>
      <c r="BE20" s="83"/>
      <c r="BF20" s="83"/>
      <c r="BG20" s="83"/>
      <c r="BH20" s="3"/>
      <c r="BI20" s="3"/>
      <c r="BJ20" s="3"/>
    </row>
    <row r="21" spans="1:62" x14ac:dyDescent="0.25">
      <c r="A21" t="s">
        <v>132</v>
      </c>
      <c r="B21" s="87"/>
      <c r="C21" s="139">
        <f>IF(AND(Simulator!N$30&gt;=Calculations!K$1,Simulator!N$30&lt;=Calculations!K$2), INDEX(Master_Table[],MATCH(Simulator!$E38,Master_Table[P/N],0),COLUMN(Master_Table[CCT(WW)^4])),"-")</f>
        <v>0</v>
      </c>
      <c r="D21" s="5">
        <f>INDEX(Master_Table[],MATCH(Simulator!$E38,Master_Table[P/N],0),COLUMN(Master_Table[CCT(WW)^3]))</f>
        <v>-2.3379143978853158E-11</v>
      </c>
      <c r="E21" s="5">
        <f>INDEX(Master_Table[],MATCH(Simulator!$E38,Master_Table[P/N],0),COLUMN(Master_Table[CCT(WW)^2]))</f>
        <v>1.5306565289819192E-7</v>
      </c>
      <c r="F21" s="5">
        <f>INDEX(Master_Table[],MATCH(Simulator!$E38,Master_Table[P/N],0),COLUMN(Master_Table[CCT(WW)^1]))</f>
        <v>-7.2586924275767472E-4</v>
      </c>
      <c r="G21" s="5">
        <f>INDEX(Master_Table[],MATCH(Simulator!$E38,Master_Table[P/N],0),COLUMN(Master_Table[CCT(WW)^0]))</f>
        <v>1.9517603165300583</v>
      </c>
      <c r="H21" s="86">
        <f t="shared" si="22"/>
        <v>1.0685772238283597E-3</v>
      </c>
      <c r="I21" s="135">
        <f t="shared" si="17"/>
        <v>1</v>
      </c>
      <c r="J21" s="87">
        <f>Simulator!N$29/Calculations!I21</f>
        <v>100</v>
      </c>
      <c r="K21" s="125">
        <f t="shared" si="19"/>
        <v>0.10685772238283597</v>
      </c>
      <c r="L21" s="140">
        <f>K21/INDEX(Master_Table[],MATCH(Simulator!E38,Master_Table[P/N],0),COLUMN(Master_Table[Typical Lumens]))</f>
        <v>4.1904989169739598E-5</v>
      </c>
      <c r="M21" s="83"/>
      <c r="N21" s="139">
        <f>IF(AND(Simulator!N$30&gt;=Calculations!K$1,Simulator!N$30&lt;=Calculations!K$2), INDEX(Master_Table[],MATCH(Simulator!$E38,Master_Table[P/N],0),COLUMN(Master_Table[CCT(CW)^4])),"-")</f>
        <v>0</v>
      </c>
      <c r="O21" s="5">
        <f>INDEX(Master_Table[],MATCH(Simulator!$E38,Master_Table[P/N],0),COLUMN(Master_Table[CCT(CW)^3]))</f>
        <v>2.3279E-11</v>
      </c>
      <c r="P21" s="318">
        <f>INDEX(Master_Table[],MATCH(Simulator!$E38,Master_Table[P/N],0),COLUMN(Master_Table[CCT(CW)^2]))</f>
        <v>-1.5241E-7</v>
      </c>
      <c r="Q21" s="5">
        <f>INDEX(Master_Table[],MATCH(Simulator!$E38,Master_Table[P/N],0),COLUMN(Master_Table[CCT(CW)^1]))</f>
        <v>7.2276000000000003E-4</v>
      </c>
      <c r="R21" s="5">
        <f>INDEX(Master_Table[],MATCH(Simulator!$E38,Master_Table[P/N],0),COLUMN(Master_Table[CCT(CW)^0]))</f>
        <v>-0.94343999999999995</v>
      </c>
      <c r="S21" s="86">
        <f t="shared" si="20"/>
        <v>0.99889600000000056</v>
      </c>
      <c r="T21" s="135">
        <f t="shared" si="18"/>
        <v>1</v>
      </c>
      <c r="U21" s="87">
        <f>Simulator!N$29/Calculations!T21</f>
        <v>100</v>
      </c>
      <c r="V21" s="87">
        <f t="shared" si="21"/>
        <v>99.893142277617159</v>
      </c>
      <c r="W21" s="315">
        <f>V21/INDEX(Master_Table[],MATCH(Simulator!E38,Master_Table[P/N],0),COLUMN(Master_Table[Typical Lumens2]))</f>
        <v>2.4973285569404289E-2</v>
      </c>
      <c r="X21" s="3"/>
      <c r="Y21" s="87">
        <f>INDEX(Master_Table[],MATCH(Simulator!$E38,Master_Table[P/N],0),COLUMN(Master_Table[LOP(WW)^4]))</f>
        <v>0</v>
      </c>
      <c r="Z21" s="83">
        <f>INDEX(Master_Table[],MATCH(Simulator!$E38,Master_Table[P/N],0),COLUMN(Master_Table[LOP(WW)^3]))</f>
        <v>115.93633453166254</v>
      </c>
      <c r="AA21" s="83">
        <f>INDEX(Master_Table[],MATCH(Simulator!$E38,Master_Table[P/N],0),COLUMN(Master_Table[LOP(WW)^2]))</f>
        <v>-50.682806632386821</v>
      </c>
      <c r="AB21" s="83">
        <f>INDEX(Master_Table[],MATCH(Simulator!$E38,Master_Table[P/N],0),COLUMN(Master_Table[LOP(WW)^1]))</f>
        <v>835.20400954053628</v>
      </c>
      <c r="AC21" s="83">
        <f>INDEX(Master_Table[],MATCH(Simulator!$E38,Master_Table[P/N],0),COLUMN(Master_Table[LOP(WW)^0]))</f>
        <v>0</v>
      </c>
      <c r="AD21" s="88">
        <f t="shared" si="27"/>
        <v>3.4999125982417077E-2</v>
      </c>
      <c r="AE21" s="83"/>
      <c r="AF21" s="87">
        <f>INDEX(Master_Table[],MATCH(Simulator!$E38,Master_Table[P/N],0),COLUMN(Master_Table[LOP(CW)^4]))</f>
        <v>0</v>
      </c>
      <c r="AG21" s="83">
        <f>INDEX(Master_Table[],MATCH(Simulator!$E38,Master_Table[P/N],0),COLUMN(Master_Table[LOP(CW)^3]))</f>
        <v>81.83993016838815</v>
      </c>
      <c r="AH21" s="83">
        <f>INDEX(Master_Table[],MATCH(Simulator!$E38,Master_Table[P/N],0),COLUMN(Master_Table[LOP(CW)^2]))</f>
        <v>20.396256883316592</v>
      </c>
      <c r="AI21" s="83">
        <f>INDEX(Master_Table[],MATCH(Simulator!$E38,Master_Table[P/N],0),COLUMN(Master_Table[LOP(CW)^1]))</f>
        <v>797.58225314893525</v>
      </c>
      <c r="AJ21" s="83">
        <f>INDEX(Master_Table[],MATCH(Simulator!$E38,Master_Table[P/N],0),COLUMN(Master_Table[LOP(CW)^0]))</f>
        <v>0</v>
      </c>
      <c r="AK21" s="88">
        <f t="shared" si="28"/>
        <v>19.932244458327791</v>
      </c>
      <c r="AL21" s="83"/>
      <c r="AM21" s="87">
        <f>INDEX(Master_Table[],MATCH(Simulator!$E38,Master_Table[P/N],0),COLUMN(Master_Table[V^4]))</f>
        <v>0</v>
      </c>
      <c r="AN21" s="83">
        <f>INDEX(Master_Table[],MATCH(Simulator!$E38,Master_Table[P/N],0),COLUMN(Master_Table[V^3]))</f>
        <v>9.2448663744205294E-10</v>
      </c>
      <c r="AO21" s="83">
        <f>INDEX(Master_Table[],MATCH(Simulator!$E38,Master_Table[P/N],0),COLUMN(Master_Table[V^2]))</f>
        <v>-3.3279418599256972E-6</v>
      </c>
      <c r="AP21" s="83">
        <f>INDEX(Master_Table[],MATCH(Simulator!$E38,Master_Table[P/N],0),COLUMN(Master_Table[V]))</f>
        <v>6.8486512961052452E-3</v>
      </c>
      <c r="AQ21" s="88">
        <f>INDEX(Master_Table[],MATCH(Simulator!$E38,Master_Table[P/N],0),COLUMN(Master_Table[V0]))</f>
        <v>31.057895981349841</v>
      </c>
      <c r="AR21" s="87">
        <f t="shared" si="23"/>
        <v>31.058135674082877</v>
      </c>
      <c r="AS21" s="127">
        <f>(H$1-25)*INDEX(Master_Table[],MATCH(Simulator!$E38,Master_Table[P/N],0),COLUMN(Master_Table[dV/dT (mV/C)]))/1000</f>
        <v>0</v>
      </c>
      <c r="AT21" s="127">
        <f t="shared" si="24"/>
        <v>31.058135674082877</v>
      </c>
      <c r="AU21" s="83"/>
      <c r="AV21" s="87">
        <f>INDEX(Master_Table[],MATCH(Simulator!$E38,Master_Table[P/N],0),COLUMN(Master_Table[V^42]))</f>
        <v>0</v>
      </c>
      <c r="AW21" s="83">
        <f>INDEX(Master_Table[],MATCH(Simulator!$E38,Master_Table[P/N],0),COLUMN(Master_Table[V^32]))</f>
        <v>1.4797687785265915E-9</v>
      </c>
      <c r="AX21" s="83">
        <f>INDEX(Master_Table[],MATCH(Simulator!$E38,Master_Table[P/N],0),COLUMN(Master_Table[V^22]))</f>
        <v>-4.4166826938951844E-6</v>
      </c>
      <c r="AY21" s="83">
        <f>INDEX(Master_Table[],MATCH(Simulator!$E38,Master_Table[P/N],0),COLUMN(Master_Table[V^12]))</f>
        <v>7.8657228120611322E-3</v>
      </c>
      <c r="AZ21" s="88">
        <f>INDEX(Master_Table[],MATCH(Simulator!$E38,Master_Table[P/N],0),COLUMN(Master_Table[V^02]))</f>
        <v>31.219611011654187</v>
      </c>
      <c r="BA21" s="85">
        <f t="shared" si="25"/>
        <v>31.374649516663371</v>
      </c>
      <c r="BB21" s="127">
        <f>(H$1-25)*INDEX(Master_Table[],MATCH(Simulator!$E38,Master_Table[P/N],0),COLUMN(Master_Table[dV/dT (mV/C)2]))/1000</f>
        <v>0</v>
      </c>
      <c r="BC21" s="127">
        <f t="shared" si="26"/>
        <v>31.374649516663371</v>
      </c>
      <c r="BD21" s="83"/>
      <c r="BE21" s="83"/>
      <c r="BF21" s="83"/>
      <c r="BG21" s="83"/>
      <c r="BH21" s="3"/>
      <c r="BI21" s="3"/>
      <c r="BJ21" s="3"/>
    </row>
    <row r="22" spans="1:62" x14ac:dyDescent="0.25">
      <c r="A22" t="s">
        <v>133</v>
      </c>
      <c r="B22" s="87"/>
      <c r="C22" s="139" t="e">
        <f>IF(AND(Simulator!N$30&gt;=Calculations!K$1,Simulator!N$30&lt;=Calculations!K$2), INDEX(Master_Table[],MATCH(Simulator!$E39,Master_Table[P/N],0),COLUMN(Master_Table[CCT(WW)^4])),"-")</f>
        <v>#N/A</v>
      </c>
      <c r="D22" s="5" t="e">
        <f>INDEX(Master_Table[],MATCH(Simulator!$E39,Master_Table[P/N],0),COLUMN(Master_Table[CCT(WW)^3]))</f>
        <v>#N/A</v>
      </c>
      <c r="E22" s="5" t="e">
        <f>INDEX(Master_Table[],MATCH(Simulator!$E39,Master_Table[P/N],0),COLUMN(Master_Table[CCT(WW)^2]))</f>
        <v>#N/A</v>
      </c>
      <c r="F22" s="5" t="e">
        <f>INDEX(Master_Table[],MATCH(Simulator!$E39,Master_Table[P/N],0),COLUMN(Master_Table[CCT(WW)^1]))</f>
        <v>#N/A</v>
      </c>
      <c r="G22" s="5" t="e">
        <f>INDEX(Master_Table[],MATCH(Simulator!$E39,Master_Table[P/N],0),COLUMN(Master_Table[CCT(WW)^0]))</f>
        <v>#N/A</v>
      </c>
      <c r="H22" s="86" t="e">
        <f t="shared" si="22"/>
        <v>#N/A</v>
      </c>
      <c r="I22" s="135" t="e">
        <f t="shared" si="17"/>
        <v>#N/A</v>
      </c>
      <c r="J22" s="87" t="e">
        <f>Simulator!N$29/Calculations!I22</f>
        <v>#N/A</v>
      </c>
      <c r="K22" s="125" t="e">
        <f t="shared" si="19"/>
        <v>#N/A</v>
      </c>
      <c r="L22" s="140" t="e">
        <f>K22/INDEX(Master_Table[],MATCH(Simulator!E39,Master_Table[P/N],0),COLUMN(Master_Table[Typical Lumens]))</f>
        <v>#N/A</v>
      </c>
      <c r="M22" s="83"/>
      <c r="N22" s="139" t="e">
        <f>IF(AND(Simulator!N$30&gt;=Calculations!K$1,Simulator!N$30&lt;=Calculations!K$2), INDEX(Master_Table[],MATCH(Simulator!$E39,Master_Table[P/N],0),COLUMN(Master_Table[CCT(CW)^4])),"-")</f>
        <v>#N/A</v>
      </c>
      <c r="O22" s="5" t="e">
        <f>INDEX(Master_Table[],MATCH(Simulator!$E39,Master_Table[P/N],0),COLUMN(Master_Table[CCT(CW)^3]))</f>
        <v>#N/A</v>
      </c>
      <c r="P22" s="318" t="e">
        <f>INDEX(Master_Table[],MATCH(Simulator!$E39,Master_Table[P/N],0),COLUMN(Master_Table[CCT(CW)^2]))</f>
        <v>#N/A</v>
      </c>
      <c r="Q22" s="5" t="e">
        <f>INDEX(Master_Table[],MATCH(Simulator!$E39,Master_Table[P/N],0),COLUMN(Master_Table[CCT(CW)^1]))</f>
        <v>#N/A</v>
      </c>
      <c r="R22" s="5" t="e">
        <f>INDEX(Master_Table[],MATCH(Simulator!$E39,Master_Table[P/N],0),COLUMN(Master_Table[CCT(CW)^0]))</f>
        <v>#N/A</v>
      </c>
      <c r="S22" s="86" t="e">
        <f t="shared" si="20"/>
        <v>#N/A</v>
      </c>
      <c r="T22" s="135" t="e">
        <f t="shared" si="18"/>
        <v>#N/A</v>
      </c>
      <c r="U22" s="87" t="e">
        <f>Simulator!N$29/Calculations!T22</f>
        <v>#N/A</v>
      </c>
      <c r="V22" s="87" t="e">
        <f t="shared" si="21"/>
        <v>#N/A</v>
      </c>
      <c r="W22" s="315" t="e">
        <f>V22/INDEX(Master_Table[],MATCH(Simulator!E39,Master_Table[P/N],0),COLUMN(Master_Table[Typical Lumens2]))</f>
        <v>#N/A</v>
      </c>
      <c r="X22" s="3"/>
      <c r="Y22" s="87" t="e">
        <f>INDEX(Master_Table[],MATCH(Simulator!$E39,Master_Table[P/N],0),COLUMN(Master_Table[LOP(WW)^4]))</f>
        <v>#N/A</v>
      </c>
      <c r="Z22" s="83" t="e">
        <f>INDEX(Master_Table[],MATCH(Simulator!$E39,Master_Table[P/N],0),COLUMN(Master_Table[LOP(WW)^3]))</f>
        <v>#N/A</v>
      </c>
      <c r="AA22" s="83" t="e">
        <f>INDEX(Master_Table[],MATCH(Simulator!$E39,Master_Table[P/N],0),COLUMN(Master_Table[LOP(WW)^2]))</f>
        <v>#N/A</v>
      </c>
      <c r="AB22" s="83" t="e">
        <f>INDEX(Master_Table[],MATCH(Simulator!$E39,Master_Table[P/N],0),COLUMN(Master_Table[LOP(WW)^1]))</f>
        <v>#N/A</v>
      </c>
      <c r="AC22" s="83" t="e">
        <f>INDEX(Master_Table[],MATCH(Simulator!$E39,Master_Table[P/N],0),COLUMN(Master_Table[LOP(WW)^0]))</f>
        <v>#N/A</v>
      </c>
      <c r="AD22" s="88" t="e">
        <f t="shared" si="27"/>
        <v>#N/A</v>
      </c>
      <c r="AE22" s="83"/>
      <c r="AF22" s="87" t="e">
        <f>INDEX(Master_Table[],MATCH(Simulator!$E39,Master_Table[P/N],0),COLUMN(Master_Table[LOP(CW)^4]))</f>
        <v>#N/A</v>
      </c>
      <c r="AG22" s="83" t="e">
        <f>INDEX(Master_Table[],MATCH(Simulator!$E39,Master_Table[P/N],0),COLUMN(Master_Table[LOP(CW)^3]))</f>
        <v>#N/A</v>
      </c>
      <c r="AH22" s="83" t="e">
        <f>INDEX(Master_Table[],MATCH(Simulator!$E39,Master_Table[P/N],0),COLUMN(Master_Table[LOP(CW)^2]))</f>
        <v>#N/A</v>
      </c>
      <c r="AI22" s="83" t="e">
        <f>INDEX(Master_Table[],MATCH(Simulator!$E39,Master_Table[P/N],0),COLUMN(Master_Table[LOP(CW)^1]))</f>
        <v>#N/A</v>
      </c>
      <c r="AJ22" s="83" t="e">
        <f>INDEX(Master_Table[],MATCH(Simulator!$E39,Master_Table[P/N],0),COLUMN(Master_Table[LOP(CW)^0]))</f>
        <v>#N/A</v>
      </c>
      <c r="AK22" s="88" t="e">
        <f t="shared" si="28"/>
        <v>#N/A</v>
      </c>
      <c r="AL22" s="83"/>
      <c r="AM22" s="87" t="e">
        <f>INDEX(Master_Table[],MATCH(Simulator!$E39,Master_Table[P/N],0),COLUMN(Master_Table[V^4]))</f>
        <v>#N/A</v>
      </c>
      <c r="AN22" s="83" t="e">
        <f>INDEX(Master_Table[],MATCH(Simulator!$E39,Master_Table[P/N],0),COLUMN(Master_Table[V^3]))</f>
        <v>#N/A</v>
      </c>
      <c r="AO22" s="83" t="e">
        <f>INDEX(Master_Table[],MATCH(Simulator!$E39,Master_Table[P/N],0),COLUMN(Master_Table[V^2]))</f>
        <v>#N/A</v>
      </c>
      <c r="AP22" s="83" t="e">
        <f>INDEX(Master_Table[],MATCH(Simulator!$E39,Master_Table[P/N],0),COLUMN(Master_Table[V]))</f>
        <v>#N/A</v>
      </c>
      <c r="AQ22" s="88" t="e">
        <f>INDEX(Master_Table[],MATCH(Simulator!$E39,Master_Table[P/N],0),COLUMN(Master_Table[V0]))</f>
        <v>#N/A</v>
      </c>
      <c r="AR22" s="87" t="e">
        <f t="shared" si="23"/>
        <v>#N/A</v>
      </c>
      <c r="AS22" s="127" t="e">
        <f>(H$1-25)*INDEX(Master_Table[],MATCH(Simulator!$E39,Master_Table[P/N],0),COLUMN(Master_Table[dV/dT (mV/C)]))/1000</f>
        <v>#N/A</v>
      </c>
      <c r="AT22" s="127" t="e">
        <f t="shared" si="24"/>
        <v>#N/A</v>
      </c>
      <c r="AU22" s="83"/>
      <c r="AV22" s="87" t="e">
        <f>INDEX(Master_Table[],MATCH(Simulator!$E39,Master_Table[P/N],0),COLUMN(Master_Table[V^42]))</f>
        <v>#N/A</v>
      </c>
      <c r="AW22" s="83" t="e">
        <f>INDEX(Master_Table[],MATCH(Simulator!$E39,Master_Table[P/N],0),COLUMN(Master_Table[V^32]))</f>
        <v>#N/A</v>
      </c>
      <c r="AX22" s="83" t="e">
        <f>INDEX(Master_Table[],MATCH(Simulator!$E39,Master_Table[P/N],0),COLUMN(Master_Table[V^22]))</f>
        <v>#N/A</v>
      </c>
      <c r="AY22" s="83" t="e">
        <f>INDEX(Master_Table[],MATCH(Simulator!$E39,Master_Table[P/N],0),COLUMN(Master_Table[V^12]))</f>
        <v>#N/A</v>
      </c>
      <c r="AZ22" s="88" t="e">
        <f>INDEX(Master_Table[],MATCH(Simulator!$E39,Master_Table[P/N],0),COLUMN(Master_Table[V^02]))</f>
        <v>#N/A</v>
      </c>
      <c r="BA22" s="85" t="e">
        <f t="shared" si="25"/>
        <v>#N/A</v>
      </c>
      <c r="BB22" s="127" t="e">
        <f>(H$1-25)*INDEX(Master_Table[],MATCH(Simulator!$E39,Master_Table[P/N],0),COLUMN(Master_Table[dV/dT (mV/C)2]))/1000</f>
        <v>#N/A</v>
      </c>
      <c r="BC22" s="127" t="e">
        <f t="shared" si="26"/>
        <v>#N/A</v>
      </c>
      <c r="BD22" s="83"/>
      <c r="BE22" s="83"/>
      <c r="BF22" s="83"/>
      <c r="BG22" s="83"/>
      <c r="BH22" s="3"/>
      <c r="BI22" s="3"/>
      <c r="BJ22" s="3"/>
    </row>
    <row r="23" spans="1:62" x14ac:dyDescent="0.25">
      <c r="A23" t="s">
        <v>134</v>
      </c>
      <c r="B23" s="87"/>
      <c r="C23" s="139" t="e">
        <f>IF(AND(Simulator!N$30&gt;=Calculations!K$1,Simulator!N$30&lt;=Calculations!K$2), INDEX(Master_Table[],MATCH(Simulator!$E40,Master_Table[P/N],0),COLUMN(Master_Table[CCT(WW)^4])),"-")</f>
        <v>#N/A</v>
      </c>
      <c r="D23" s="5" t="e">
        <f>INDEX(Master_Table[],MATCH(Simulator!$E40,Master_Table[P/N],0),COLUMN(Master_Table[CCT(WW)^3]))</f>
        <v>#N/A</v>
      </c>
      <c r="E23" s="5" t="e">
        <f>INDEX(Master_Table[],MATCH(Simulator!$E40,Master_Table[P/N],0),COLUMN(Master_Table[CCT(WW)^2]))</f>
        <v>#N/A</v>
      </c>
      <c r="F23" s="5" t="e">
        <f>INDEX(Master_Table[],MATCH(Simulator!$E40,Master_Table[P/N],0),COLUMN(Master_Table[CCT(WW)^1]))</f>
        <v>#N/A</v>
      </c>
      <c r="G23" s="5" t="e">
        <f>INDEX(Master_Table[],MATCH(Simulator!$E40,Master_Table[P/N],0),COLUMN(Master_Table[CCT(WW)^0]))</f>
        <v>#N/A</v>
      </c>
      <c r="H23" s="86" t="e">
        <f t="shared" si="22"/>
        <v>#N/A</v>
      </c>
      <c r="I23" s="135" t="e">
        <f t="shared" si="17"/>
        <v>#N/A</v>
      </c>
      <c r="J23" s="87" t="e">
        <f>Simulator!N$29/Calculations!I23</f>
        <v>#N/A</v>
      </c>
      <c r="K23" s="125" t="e">
        <f t="shared" si="19"/>
        <v>#N/A</v>
      </c>
      <c r="L23" s="140" t="e">
        <f>K23/INDEX(Master_Table[],MATCH(Simulator!E40,Master_Table[P/N],0),COLUMN(Master_Table[Typical Lumens]))</f>
        <v>#N/A</v>
      </c>
      <c r="M23" s="83"/>
      <c r="N23" s="139" t="e">
        <f>IF(AND(Simulator!N$30&gt;=Calculations!K$1,Simulator!N$30&lt;=Calculations!K$2), INDEX(Master_Table[],MATCH(Simulator!$E40,Master_Table[P/N],0),COLUMN(Master_Table[CCT(CW)^4])),"-")</f>
        <v>#N/A</v>
      </c>
      <c r="O23" s="5" t="e">
        <f>INDEX(Master_Table[],MATCH(Simulator!$E40,Master_Table[P/N],0),COLUMN(Master_Table[CCT(CW)^3]))</f>
        <v>#N/A</v>
      </c>
      <c r="P23" s="318" t="e">
        <f>INDEX(Master_Table[],MATCH(Simulator!$E40,Master_Table[P/N],0),COLUMN(Master_Table[CCT(CW)^2]))</f>
        <v>#N/A</v>
      </c>
      <c r="Q23" s="5" t="e">
        <f>INDEX(Master_Table[],MATCH(Simulator!$E40,Master_Table[P/N],0),COLUMN(Master_Table[CCT(CW)^1]))</f>
        <v>#N/A</v>
      </c>
      <c r="R23" s="5" t="e">
        <f>INDEX(Master_Table[],MATCH(Simulator!$E40,Master_Table[P/N],0),COLUMN(Master_Table[CCT(CW)^0]))</f>
        <v>#N/A</v>
      </c>
      <c r="S23" s="86" t="e">
        <f t="shared" si="20"/>
        <v>#N/A</v>
      </c>
      <c r="T23" s="135" t="e">
        <f t="shared" si="18"/>
        <v>#N/A</v>
      </c>
      <c r="U23" s="87" t="e">
        <f>Simulator!N$29/Calculations!T23</f>
        <v>#N/A</v>
      </c>
      <c r="V23" s="87" t="e">
        <f t="shared" si="21"/>
        <v>#N/A</v>
      </c>
      <c r="W23" s="315" t="e">
        <f>V23/INDEX(Master_Table[],MATCH(Simulator!E40,Master_Table[P/N],0),COLUMN(Master_Table[Typical Lumens2]))</f>
        <v>#N/A</v>
      </c>
      <c r="X23" s="3"/>
      <c r="Y23" s="87" t="e">
        <f>INDEX(Master_Table[],MATCH(Simulator!$E40,Master_Table[P/N],0),COLUMN(Master_Table[LOP(WW)^4]))</f>
        <v>#N/A</v>
      </c>
      <c r="Z23" s="83" t="e">
        <f>INDEX(Master_Table[],MATCH(Simulator!$E40,Master_Table[P/N],0),COLUMN(Master_Table[LOP(WW)^3]))</f>
        <v>#N/A</v>
      </c>
      <c r="AA23" s="83" t="e">
        <f>INDEX(Master_Table[],MATCH(Simulator!$E40,Master_Table[P/N],0),COLUMN(Master_Table[LOP(WW)^2]))</f>
        <v>#N/A</v>
      </c>
      <c r="AB23" s="83" t="e">
        <f>INDEX(Master_Table[],MATCH(Simulator!$E40,Master_Table[P/N],0),COLUMN(Master_Table[LOP(WW)^1]))</f>
        <v>#N/A</v>
      </c>
      <c r="AC23" s="83" t="e">
        <f>INDEX(Master_Table[],MATCH(Simulator!$E40,Master_Table[P/N],0),COLUMN(Master_Table[LOP(WW)^0]))</f>
        <v>#N/A</v>
      </c>
      <c r="AD23" s="88" t="e">
        <f t="shared" si="27"/>
        <v>#N/A</v>
      </c>
      <c r="AE23" s="83"/>
      <c r="AF23" s="87" t="e">
        <f>INDEX(Master_Table[],MATCH(Simulator!$E40,Master_Table[P/N],0),COLUMN(Master_Table[LOP(CW)^4]))</f>
        <v>#N/A</v>
      </c>
      <c r="AG23" s="83" t="e">
        <f>INDEX(Master_Table[],MATCH(Simulator!$E40,Master_Table[P/N],0),COLUMN(Master_Table[LOP(CW)^3]))</f>
        <v>#N/A</v>
      </c>
      <c r="AH23" s="83" t="e">
        <f>INDEX(Master_Table[],MATCH(Simulator!$E40,Master_Table[P/N],0),COLUMN(Master_Table[LOP(CW)^2]))</f>
        <v>#N/A</v>
      </c>
      <c r="AI23" s="83" t="e">
        <f>INDEX(Master_Table[],MATCH(Simulator!$E40,Master_Table[P/N],0),COLUMN(Master_Table[LOP(CW)^1]))</f>
        <v>#N/A</v>
      </c>
      <c r="AJ23" s="83" t="e">
        <f>INDEX(Master_Table[],MATCH(Simulator!$E40,Master_Table[P/N],0),COLUMN(Master_Table[LOP(CW)^0]))</f>
        <v>#N/A</v>
      </c>
      <c r="AK23" s="88" t="e">
        <f t="shared" si="28"/>
        <v>#N/A</v>
      </c>
      <c r="AL23" s="83"/>
      <c r="AM23" s="87" t="e">
        <f>INDEX(Master_Table[],MATCH(Simulator!$E40,Master_Table[P/N],0),COLUMN(Master_Table[V^4]))</f>
        <v>#N/A</v>
      </c>
      <c r="AN23" s="83" t="e">
        <f>INDEX(Master_Table[],MATCH(Simulator!$E40,Master_Table[P/N],0),COLUMN(Master_Table[V^3]))</f>
        <v>#N/A</v>
      </c>
      <c r="AO23" s="83" t="e">
        <f>INDEX(Master_Table[],MATCH(Simulator!$E40,Master_Table[P/N],0),COLUMN(Master_Table[V^2]))</f>
        <v>#N/A</v>
      </c>
      <c r="AP23" s="83" t="e">
        <f>INDEX(Master_Table[],MATCH(Simulator!$E40,Master_Table[P/N],0),COLUMN(Master_Table[V]))</f>
        <v>#N/A</v>
      </c>
      <c r="AQ23" s="88" t="e">
        <f>INDEX(Master_Table[],MATCH(Simulator!$E40,Master_Table[P/N],0),COLUMN(Master_Table[V0]))</f>
        <v>#N/A</v>
      </c>
      <c r="AR23" s="87" t="e">
        <f t="shared" si="23"/>
        <v>#N/A</v>
      </c>
      <c r="AS23" s="127" t="e">
        <f>(H$1-25)*INDEX(Master_Table[],MATCH(Simulator!$E40,Master_Table[P/N],0),COLUMN(Master_Table[dV/dT (mV/C)]))/1000</f>
        <v>#N/A</v>
      </c>
      <c r="AT23" s="127" t="e">
        <f t="shared" si="24"/>
        <v>#N/A</v>
      </c>
      <c r="AU23" s="83"/>
      <c r="AV23" s="87" t="e">
        <f>INDEX(Master_Table[],MATCH(Simulator!$E40,Master_Table[P/N],0),COLUMN(Master_Table[V^42]))</f>
        <v>#N/A</v>
      </c>
      <c r="AW23" s="83" t="e">
        <f>INDEX(Master_Table[],MATCH(Simulator!$E40,Master_Table[P/N],0),COLUMN(Master_Table[V^32]))</f>
        <v>#N/A</v>
      </c>
      <c r="AX23" s="83" t="e">
        <f>INDEX(Master_Table[],MATCH(Simulator!$E40,Master_Table[P/N],0),COLUMN(Master_Table[V^22]))</f>
        <v>#N/A</v>
      </c>
      <c r="AY23" s="83" t="e">
        <f>INDEX(Master_Table[],MATCH(Simulator!$E40,Master_Table[P/N],0),COLUMN(Master_Table[V^12]))</f>
        <v>#N/A</v>
      </c>
      <c r="AZ23" s="88" t="e">
        <f>INDEX(Master_Table[],MATCH(Simulator!$E40,Master_Table[P/N],0),COLUMN(Master_Table[V^02]))</f>
        <v>#N/A</v>
      </c>
      <c r="BA23" s="85" t="e">
        <f t="shared" si="25"/>
        <v>#N/A</v>
      </c>
      <c r="BB23" s="127" t="e">
        <f>(H$1-25)*INDEX(Master_Table[],MATCH(Simulator!$E40,Master_Table[P/N],0),COLUMN(Master_Table[dV/dT (mV/C)2]))/1000</f>
        <v>#N/A</v>
      </c>
      <c r="BC23" s="127" t="e">
        <f t="shared" si="26"/>
        <v>#N/A</v>
      </c>
      <c r="BD23" s="83"/>
      <c r="BE23" s="83"/>
      <c r="BF23" s="83"/>
      <c r="BG23" s="83"/>
      <c r="BH23" s="3"/>
      <c r="BI23" s="3"/>
      <c r="BJ23" s="3"/>
    </row>
    <row r="25" spans="1:62" x14ac:dyDescent="0.25">
      <c r="H25">
        <f>H26-H18</f>
        <v>0.45569528504281154</v>
      </c>
    </row>
    <row r="26" spans="1:62" x14ac:dyDescent="0.25">
      <c r="H26">
        <v>0.4567638622666399</v>
      </c>
      <c r="J26" s="282">
        <f>H26/H27</f>
        <v>0.99999999999999611</v>
      </c>
    </row>
    <row r="27" spans="1:62" x14ac:dyDescent="0.25">
      <c r="C27" s="282">
        <v>0</v>
      </c>
      <c r="D27" s="282">
        <v>-1.3255024437306784E-11</v>
      </c>
      <c r="E27" s="282">
        <v>2.8292892627591535E-7</v>
      </c>
      <c r="F27" s="282">
        <v>-2.0977849875586027E-3</v>
      </c>
      <c r="G27" s="282">
        <v>5.3233417177768505</v>
      </c>
      <c r="H27" s="282">
        <v>0.45676386226664167</v>
      </c>
      <c r="Q27" s="324"/>
    </row>
    <row r="29" spans="1:62" x14ac:dyDescent="0.25">
      <c r="C29" s="282">
        <f>C27*$J$26</f>
        <v>0</v>
      </c>
      <c r="D29" s="282">
        <f t="shared" ref="D29:G29" si="29">D27*$J$26</f>
        <v>-1.3255024437306732E-11</v>
      </c>
      <c r="E29" s="282">
        <f t="shared" si="29"/>
        <v>2.8292892627591423E-7</v>
      </c>
      <c r="F29" s="282">
        <f t="shared" si="29"/>
        <v>-2.0977849875585945E-3</v>
      </c>
      <c r="G29" s="282">
        <f t="shared" si="29"/>
        <v>5.3233417177768301</v>
      </c>
      <c r="H29" s="282">
        <f>H26-H18</f>
        <v>0.45569528504281154</v>
      </c>
    </row>
  </sheetData>
  <phoneticPr fontId="61" type="noConversion"/>
  <hyperlinks>
    <hyperlink ref="AO4" r:id="rId1"/>
    <hyperlink ref="AY4" r:id="rId2"/>
    <hyperlink ref="J15" r:id="rId3"/>
    <hyperlink ref="U15" r:id="rId4"/>
    <hyperlink ref="AS15" r:id="rId5"/>
    <hyperlink ref="BB15" r:id="rId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User Guide</vt:lpstr>
      <vt:lpstr>Simulator</vt:lpstr>
      <vt:lpstr>Master Table</vt:lpstr>
      <vt:lpstr>Part Numbers</vt:lpstr>
      <vt:lpstr>Calculations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Brooks</dc:creator>
  <cp:lastModifiedBy>Windows 使用者</cp:lastModifiedBy>
  <dcterms:created xsi:type="dcterms:W3CDTF">2020-06-14T16:30:15Z</dcterms:created>
  <dcterms:modified xsi:type="dcterms:W3CDTF">2022-12-14T07:20:43Z</dcterms:modified>
</cp:coreProperties>
</file>