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AD4E" lockStructure="1"/>
  <bookViews>
    <workbookView xWindow="3390" yWindow="105" windowWidth="3405" windowHeight="8040" tabRatio="704" activeTab="1"/>
  </bookViews>
  <sheets>
    <sheet name="User Guide" sheetId="22" r:id="rId1"/>
    <sheet name="Simulator" sheetId="2" r:id="rId2"/>
    <sheet name="Calculations" sheetId="9" state="hidden" r:id="rId3"/>
    <sheet name="Master Table - Current Input" sheetId="8" state="hidden" r:id="rId4"/>
    <sheet name="Lumen Ratio Tables" sheetId="10" state="hidden" r:id="rId5"/>
  </sheets>
  <externalReferences>
    <externalReference r:id="rId6"/>
    <externalReference r:id="rId7"/>
    <externalReference r:id="rId8"/>
  </externalReferences>
  <definedNames>
    <definedName name="ABCD">[1]Data!$N$37:$O$56</definedName>
    <definedName name="CCTCRIDropDown" localSheetId="0">[2]!CCT_CRI32354[CCT/CRI]</definedName>
    <definedName name="CCTCRIDropDown">[3]!CCT_CRI32354[CCT/CRI]</definedName>
    <definedName name="ExpirationDate">[2]Simulator!#REF!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V_10_85DC_Factor">[2]Data!$AI$26:$AJ$35</definedName>
    <definedName name="V_15_85DC_Factor">[2]Data!$AL$26:$AM$35</definedName>
    <definedName name="V_6_85DC_Factor">[2]Data!$AB$26:$AC$35</definedName>
    <definedName name="V_8_85DC_Factor">[2]Data!$AF$26:$AG$35</definedName>
    <definedName name="Vero10_85DC_Factor">[2]Data!$AB$3:$AC$22</definedName>
    <definedName name="Vero13_85DC_Factor">[2]Data!$AF$3:$AG$22</definedName>
    <definedName name="Vero18_85DC_Factor">[2]Data!$AI$3:$AJ$22</definedName>
    <definedName name="Vero29_85DC_Factor">[2]Data!$AL$3:$AM$22</definedName>
  </definedNames>
  <calcPr calcId="145621"/>
</workbook>
</file>

<file path=xl/calcChain.xml><?xml version="1.0" encoding="utf-8"?>
<calcChain xmlns="http://schemas.openxmlformats.org/spreadsheetml/2006/main">
  <c r="H29" i="2" l="1"/>
  <c r="M68" i="8" l="1"/>
  <c r="N68" i="8" s="1"/>
  <c r="M67" i="8"/>
  <c r="M66" i="8"/>
  <c r="N66" i="8" s="1"/>
  <c r="M65" i="8"/>
  <c r="M60" i="8"/>
  <c r="M59" i="8"/>
  <c r="M58" i="8"/>
  <c r="M57" i="8"/>
  <c r="M52" i="8"/>
  <c r="M51" i="8"/>
  <c r="N51" i="8" s="1"/>
  <c r="M50" i="8"/>
  <c r="N50" i="8" s="1"/>
  <c r="M49" i="8"/>
  <c r="N49" i="8" s="1"/>
  <c r="M44" i="8"/>
  <c r="N44" i="8" s="1"/>
  <c r="M43" i="8"/>
  <c r="M42" i="8"/>
  <c r="M41" i="8"/>
  <c r="N41" i="8" s="1"/>
  <c r="M36" i="8"/>
  <c r="N36" i="8" s="1"/>
  <c r="M35" i="8"/>
  <c r="M34" i="8"/>
  <c r="M33" i="8"/>
  <c r="M28" i="8"/>
  <c r="M27" i="8"/>
  <c r="N27" i="8" s="1"/>
  <c r="M26" i="8"/>
  <c r="N26" i="8" s="1"/>
  <c r="M25" i="8"/>
  <c r="N25" i="8" s="1"/>
  <c r="M20" i="8"/>
  <c r="M19" i="8"/>
  <c r="N19" i="8" s="1"/>
  <c r="M18" i="8"/>
  <c r="N18" i="8" s="1"/>
  <c r="M17" i="8"/>
  <c r="N17" i="8" s="1"/>
  <c r="M11" i="8"/>
  <c r="N11" i="8" s="1"/>
  <c r="M9" i="8"/>
  <c r="I26" i="8"/>
  <c r="I27" i="8"/>
  <c r="I28" i="8"/>
  <c r="I25" i="8"/>
  <c r="I34" i="8"/>
  <c r="I35" i="8"/>
  <c r="I36" i="8"/>
  <c r="I33" i="8"/>
  <c r="I42" i="8"/>
  <c r="I43" i="8"/>
  <c r="I44" i="8"/>
  <c r="I41" i="8"/>
  <c r="I50" i="8"/>
  <c r="I51" i="8"/>
  <c r="I52" i="8"/>
  <c r="I49" i="8"/>
  <c r="I58" i="8"/>
  <c r="I59" i="8"/>
  <c r="I60" i="8"/>
  <c r="I57" i="8"/>
  <c r="I66" i="8"/>
  <c r="I67" i="8"/>
  <c r="I68" i="8"/>
  <c r="I65" i="8"/>
  <c r="H68" i="8"/>
  <c r="N67" i="8"/>
  <c r="H67" i="8"/>
  <c r="H66" i="8"/>
  <c r="N65" i="8"/>
  <c r="H65" i="8"/>
  <c r="N60" i="8"/>
  <c r="H60" i="8"/>
  <c r="N59" i="8"/>
  <c r="H59" i="8"/>
  <c r="N58" i="8"/>
  <c r="H58" i="8"/>
  <c r="N57" i="8"/>
  <c r="H57" i="8"/>
  <c r="N52" i="8"/>
  <c r="H52" i="8"/>
  <c r="H51" i="8"/>
  <c r="H50" i="8"/>
  <c r="H49" i="8"/>
  <c r="H44" i="8"/>
  <c r="N43" i="8"/>
  <c r="H43" i="8"/>
  <c r="N42" i="8"/>
  <c r="H42" i="8"/>
  <c r="H41" i="8"/>
  <c r="H36" i="8"/>
  <c r="N35" i="8"/>
  <c r="H35" i="8"/>
  <c r="N34" i="8"/>
  <c r="H34" i="8"/>
  <c r="N33" i="8"/>
  <c r="H33" i="8"/>
  <c r="N28" i="8"/>
  <c r="H28" i="8"/>
  <c r="H27" i="8"/>
  <c r="H26" i="8"/>
  <c r="H25" i="8"/>
  <c r="I18" i="8"/>
  <c r="I19" i="8"/>
  <c r="I20" i="8"/>
  <c r="I17" i="8"/>
  <c r="N20" i="8"/>
  <c r="H20" i="8"/>
  <c r="H19" i="8"/>
  <c r="H18" i="8"/>
  <c r="H17" i="8"/>
  <c r="N12" i="8"/>
  <c r="N10" i="8"/>
  <c r="N9" i="8"/>
  <c r="I10" i="8" l="1"/>
  <c r="I11" i="8"/>
  <c r="I12" i="8"/>
  <c r="I5" i="8"/>
  <c r="I6" i="8"/>
  <c r="I7" i="8"/>
  <c r="I8" i="8"/>
  <c r="I9" i="8"/>
  <c r="I13" i="8"/>
  <c r="I14" i="8"/>
  <c r="I15" i="8"/>
  <c r="I16" i="8"/>
  <c r="I21" i="8"/>
  <c r="I22" i="8"/>
  <c r="I23" i="8"/>
  <c r="I24" i="8"/>
  <c r="I29" i="8"/>
  <c r="I30" i="8"/>
  <c r="I31" i="8"/>
  <c r="I32" i="8"/>
  <c r="I37" i="8"/>
  <c r="I38" i="8"/>
  <c r="I39" i="8"/>
  <c r="I40" i="8"/>
  <c r="I45" i="8"/>
  <c r="I46" i="8"/>
  <c r="I47" i="8"/>
  <c r="I48" i="8"/>
  <c r="I53" i="8"/>
  <c r="I54" i="8"/>
  <c r="I55" i="8"/>
  <c r="I56" i="8"/>
  <c r="I61" i="8"/>
  <c r="I62" i="8"/>
  <c r="I63" i="8"/>
  <c r="I64" i="8"/>
  <c r="I69" i="8"/>
  <c r="I70" i="8"/>
  <c r="I71" i="8"/>
  <c r="I72" i="8"/>
  <c r="I73" i="8"/>
  <c r="I74" i="8"/>
  <c r="I75" i="8"/>
  <c r="I76" i="8"/>
  <c r="I77" i="8"/>
  <c r="I78" i="8"/>
  <c r="I79" i="8"/>
  <c r="I80" i="8"/>
  <c r="I81" i="8"/>
  <c r="I82" i="8"/>
  <c r="I83" i="8"/>
  <c r="I84" i="8"/>
  <c r="I85" i="8"/>
  <c r="I86" i="8"/>
  <c r="I87" i="8"/>
  <c r="I88" i="8"/>
  <c r="I89" i="8"/>
  <c r="I90" i="8"/>
  <c r="I91" i="8"/>
  <c r="I92" i="8"/>
  <c r="I93" i="8"/>
  <c r="I94" i="8"/>
  <c r="I95" i="8"/>
  <c r="I96" i="8"/>
  <c r="I97" i="8"/>
  <c r="I98" i="8"/>
  <c r="I99" i="8"/>
  <c r="I100" i="8"/>
  <c r="I101" i="8"/>
  <c r="I102" i="8"/>
  <c r="I103" i="8"/>
  <c r="I104" i="8"/>
  <c r="H9" i="8"/>
  <c r="H10" i="8"/>
  <c r="H11" i="8"/>
  <c r="H12" i="8"/>
  <c r="M26" i="2" l="1"/>
  <c r="L26" i="2"/>
  <c r="K26" i="2"/>
  <c r="J1" i="9" l="1"/>
  <c r="K1" i="9" s="1"/>
  <c r="L6" i="2"/>
  <c r="I1" i="9" l="1"/>
  <c r="A57" i="2"/>
  <c r="A53" i="2"/>
  <c r="A34" i="2"/>
  <c r="A30" i="2"/>
  <c r="A48" i="2"/>
  <c r="A23" i="2"/>
  <c r="A28" i="2"/>
  <c r="A56" i="2"/>
  <c r="A52" i="2"/>
  <c r="A33" i="2"/>
  <c r="A29" i="2"/>
  <c r="A55" i="2"/>
  <c r="A32" i="2"/>
  <c r="A54" i="2"/>
  <c r="A50" i="2"/>
  <c r="A31" i="2"/>
  <c r="A27" i="2"/>
  <c r="A47" i="2"/>
  <c r="A51" i="2"/>
  <c r="A24" i="2"/>
  <c r="M40" i="2"/>
  <c r="L40" i="2"/>
  <c r="K40" i="2"/>
  <c r="D2" i="9"/>
  <c r="M16" i="2" l="1"/>
  <c r="L16" i="2"/>
  <c r="K16" i="2"/>
  <c r="N23" i="8" l="1"/>
  <c r="H23" i="8"/>
  <c r="N22" i="8"/>
  <c r="H22" i="8"/>
  <c r="N21" i="8"/>
  <c r="H21" i="8"/>
  <c r="N16" i="8"/>
  <c r="H16" i="8"/>
  <c r="N15" i="8"/>
  <c r="H15" i="8"/>
  <c r="N14" i="8"/>
  <c r="H14" i="8"/>
  <c r="N13" i="8"/>
  <c r="H13" i="8"/>
  <c r="N5" i="8" l="1"/>
  <c r="N6" i="8"/>
  <c r="N7" i="8"/>
  <c r="N8" i="8"/>
  <c r="N24" i="8"/>
  <c r="N29" i="8"/>
  <c r="N30" i="8"/>
  <c r="N31" i="8"/>
  <c r="N32" i="8"/>
  <c r="N37" i="8"/>
  <c r="N38" i="8"/>
  <c r="N39" i="8"/>
  <c r="N40" i="8"/>
  <c r="N45" i="8"/>
  <c r="N46" i="8"/>
  <c r="N47" i="8"/>
  <c r="N48" i="8"/>
  <c r="N53" i="8"/>
  <c r="N54" i="8"/>
  <c r="N55" i="8"/>
  <c r="N56" i="8"/>
  <c r="N61" i="8"/>
  <c r="N62" i="8"/>
  <c r="N63" i="8"/>
  <c r="N64" i="8"/>
  <c r="N69" i="8"/>
  <c r="N70" i="8"/>
  <c r="N71" i="8"/>
  <c r="N72" i="8"/>
  <c r="N73" i="8"/>
  <c r="N74" i="8"/>
  <c r="N75" i="8"/>
  <c r="N76" i="8"/>
  <c r="N77" i="8"/>
  <c r="N78" i="8"/>
  <c r="N79" i="8"/>
  <c r="N80" i="8"/>
  <c r="N81" i="8"/>
  <c r="N82" i="8"/>
  <c r="N83" i="8"/>
  <c r="N84" i="8"/>
  <c r="N85" i="8"/>
  <c r="N86" i="8"/>
  <c r="N87" i="8"/>
  <c r="N88" i="8"/>
  <c r="N89" i="8"/>
  <c r="N90" i="8"/>
  <c r="N91" i="8"/>
  <c r="N92" i="8"/>
  <c r="N93" i="8"/>
  <c r="N94" i="8"/>
  <c r="N95" i="8"/>
  <c r="N96" i="8"/>
  <c r="N97" i="8"/>
  <c r="N98" i="8"/>
  <c r="N99" i="8"/>
  <c r="N100" i="8"/>
  <c r="N101" i="8"/>
  <c r="N102" i="8"/>
  <c r="N103" i="8"/>
  <c r="N104" i="8"/>
  <c r="H45" i="8" l="1"/>
  <c r="H46" i="8"/>
  <c r="H47" i="8"/>
  <c r="H48" i="8"/>
  <c r="H53" i="8"/>
  <c r="H54" i="8"/>
  <c r="H55" i="8"/>
  <c r="H56" i="8"/>
  <c r="H61" i="8"/>
  <c r="H62" i="8"/>
  <c r="H63" i="8"/>
  <c r="H64" i="8"/>
  <c r="H69" i="8"/>
  <c r="H70" i="8"/>
  <c r="H71" i="8"/>
  <c r="H72" i="8"/>
  <c r="H73" i="8"/>
  <c r="H74" i="8"/>
  <c r="H75" i="8"/>
  <c r="H76" i="8"/>
  <c r="H77" i="8"/>
  <c r="H78" i="8"/>
  <c r="H79" i="8"/>
  <c r="H80" i="8"/>
  <c r="H81" i="8"/>
  <c r="H82" i="8"/>
  <c r="H83" i="8"/>
  <c r="H84" i="8"/>
  <c r="H85" i="8"/>
  <c r="H86" i="8"/>
  <c r="H87" i="8"/>
  <c r="H88" i="8"/>
  <c r="H89" i="8"/>
  <c r="H90" i="8"/>
  <c r="H91" i="8"/>
  <c r="H92" i="8"/>
  <c r="H93" i="8"/>
  <c r="H94" i="8"/>
  <c r="H95" i="8"/>
  <c r="H96" i="8"/>
  <c r="H97" i="8"/>
  <c r="H98" i="8"/>
  <c r="H99" i="8"/>
  <c r="H100" i="8"/>
  <c r="H101" i="8"/>
  <c r="H102" i="8"/>
  <c r="H103" i="8"/>
  <c r="H104" i="8"/>
  <c r="H32" i="8"/>
  <c r="H24" i="8"/>
  <c r="H29" i="8"/>
  <c r="H30" i="8"/>
  <c r="H31" i="8"/>
  <c r="H37" i="8"/>
  <c r="H38" i="8"/>
  <c r="H39" i="8"/>
  <c r="H40" i="8"/>
  <c r="F1" i="9" l="1"/>
  <c r="D1" i="9"/>
  <c r="H5" i="8" l="1"/>
  <c r="H6" i="8"/>
  <c r="H7" i="8"/>
  <c r="H8" i="8"/>
  <c r="N27" i="2" l="1"/>
  <c r="P50" i="2"/>
  <c r="N47" i="2"/>
  <c r="O48" i="2"/>
  <c r="N23" i="2"/>
  <c r="O24" i="2"/>
  <c r="E34" i="2"/>
  <c r="P30" i="2"/>
  <c r="H30" i="2" s="1"/>
  <c r="N24" i="2"/>
  <c r="P54" i="2"/>
  <c r="O50" i="2"/>
  <c r="N33" i="2"/>
  <c r="N31" i="2"/>
  <c r="P29" i="2"/>
  <c r="O47" i="2"/>
  <c r="P48" i="2"/>
  <c r="O23" i="2"/>
  <c r="P24" i="2"/>
  <c r="H24" i="2" s="1"/>
  <c r="N48" i="2"/>
  <c r="O54" i="2"/>
  <c r="P51" i="2"/>
  <c r="E33" i="2"/>
  <c r="P47" i="2"/>
  <c r="P23" i="2"/>
  <c r="H23" i="2" s="1"/>
  <c r="P55" i="2"/>
  <c r="O28" i="2"/>
  <c r="O29" i="2"/>
  <c r="N51" i="2"/>
  <c r="O27" i="2"/>
  <c r="N53" i="2"/>
  <c r="O52" i="2"/>
  <c r="O51" i="2"/>
  <c r="N34" i="2"/>
  <c r="P32" i="2"/>
  <c r="H32" i="2" s="1"/>
  <c r="E30" i="2"/>
  <c r="E28" i="2"/>
  <c r="E52" i="2"/>
  <c r="E56" i="2"/>
  <c r="O33" i="2"/>
  <c r="O31" i="2"/>
  <c r="N52" i="2"/>
  <c r="O30" i="2"/>
  <c r="N55" i="2"/>
  <c r="P53" i="2"/>
  <c r="P52" i="2"/>
  <c r="P34" i="2"/>
  <c r="H34" i="2" s="1"/>
  <c r="E32" i="2"/>
  <c r="N30" i="2"/>
  <c r="P28" i="2"/>
  <c r="H28" i="2" s="1"/>
  <c r="P27" i="2"/>
  <c r="E53" i="2"/>
  <c r="E57" i="2"/>
  <c r="N56" i="2"/>
  <c r="N54" i="2"/>
  <c r="O57" i="2"/>
  <c r="P56" i="2"/>
  <c r="E31" i="2"/>
  <c r="E51" i="2"/>
  <c r="E23" i="2"/>
  <c r="N50" i="2"/>
  <c r="N57" i="2"/>
  <c r="O32" i="2"/>
  <c r="O53" i="2"/>
  <c r="O56" i="2"/>
  <c r="O55" i="2"/>
  <c r="P33" i="2"/>
  <c r="H33" i="2" s="1"/>
  <c r="P31" i="2"/>
  <c r="H31" i="2" s="1"/>
  <c r="E29" i="2"/>
  <c r="N28" i="2"/>
  <c r="E50" i="2"/>
  <c r="E54" i="2"/>
  <c r="E47" i="2"/>
  <c r="O34" i="2"/>
  <c r="P57" i="2"/>
  <c r="N32" i="2"/>
  <c r="N29" i="2"/>
  <c r="E27" i="2"/>
  <c r="E55" i="2"/>
  <c r="E48" i="2"/>
  <c r="E24" i="2"/>
  <c r="A42" i="2"/>
  <c r="E42" i="2" s="1"/>
  <c r="A18" i="2"/>
  <c r="A45" i="2"/>
  <c r="A43" i="2"/>
  <c r="A41" i="2"/>
  <c r="N41" i="2" s="1"/>
  <c r="A44" i="2"/>
  <c r="A46" i="2"/>
  <c r="H27" i="2" l="1"/>
  <c r="Z36" i="9"/>
  <c r="AD36" i="9"/>
  <c r="R36" i="9"/>
  <c r="W36" i="9"/>
  <c r="B36" i="9"/>
  <c r="F36" i="9"/>
  <c r="J36" i="9"/>
  <c r="AA36" i="9"/>
  <c r="S36" i="9"/>
  <c r="C36" i="9"/>
  <c r="G36" i="9"/>
  <c r="K36" i="9"/>
  <c r="AB36" i="9"/>
  <c r="T36" i="9"/>
  <c r="D36" i="9"/>
  <c r="L36" i="9"/>
  <c r="U36" i="9"/>
  <c r="E36" i="9"/>
  <c r="AC36" i="9"/>
  <c r="I36" i="9"/>
  <c r="Q36" i="9"/>
  <c r="M36" i="9"/>
  <c r="AA18" i="9"/>
  <c r="AE18" i="9"/>
  <c r="AJ18" i="9"/>
  <c r="AB18" i="9"/>
  <c r="AF18" i="9"/>
  <c r="AK18" i="9"/>
  <c r="AC18" i="9"/>
  <c r="AH18" i="9"/>
  <c r="AL18" i="9"/>
  <c r="R18" i="9"/>
  <c r="V18" i="9"/>
  <c r="D18" i="9"/>
  <c r="I18" i="9"/>
  <c r="M18" i="9"/>
  <c r="AI18" i="9"/>
  <c r="K18" i="9"/>
  <c r="Q18" i="9"/>
  <c r="AD18" i="9"/>
  <c r="S18" i="9"/>
  <c r="X18" i="9"/>
  <c r="E18" i="9"/>
  <c r="J18" i="9"/>
  <c r="B18" i="9"/>
  <c r="U18" i="9"/>
  <c r="T18" i="9"/>
  <c r="F18" i="9"/>
  <c r="C18" i="9"/>
  <c r="G18" i="9"/>
  <c r="L18" i="9"/>
  <c r="AC16" i="9"/>
  <c r="AH16" i="9"/>
  <c r="AL16" i="9"/>
  <c r="S16" i="9"/>
  <c r="X16" i="9"/>
  <c r="AD16" i="9"/>
  <c r="AI16" i="9"/>
  <c r="T16" i="9"/>
  <c r="AA16" i="9"/>
  <c r="AE16" i="9"/>
  <c r="AJ16" i="9"/>
  <c r="Q16" i="9"/>
  <c r="U16" i="9"/>
  <c r="AF16" i="9"/>
  <c r="V16" i="9"/>
  <c r="C16" i="9"/>
  <c r="G16" i="9"/>
  <c r="L16" i="9"/>
  <c r="AK16" i="9"/>
  <c r="D16" i="9"/>
  <c r="I16" i="9"/>
  <c r="M16" i="9"/>
  <c r="E16" i="9"/>
  <c r="AB16" i="9"/>
  <c r="R16" i="9"/>
  <c r="J16" i="9"/>
  <c r="F16" i="9"/>
  <c r="K16" i="9"/>
  <c r="B16" i="9"/>
  <c r="AC20" i="9"/>
  <c r="AH20" i="9"/>
  <c r="AL20" i="9"/>
  <c r="AD20" i="9"/>
  <c r="AI20" i="9"/>
  <c r="AA20" i="9"/>
  <c r="AE20" i="9"/>
  <c r="AJ20" i="9"/>
  <c r="AK20" i="9"/>
  <c r="T20" i="9"/>
  <c r="B20" i="9"/>
  <c r="F20" i="9"/>
  <c r="K20" i="9"/>
  <c r="I20" i="9"/>
  <c r="AF20" i="9"/>
  <c r="X20" i="9"/>
  <c r="Q20" i="9"/>
  <c r="U20" i="9"/>
  <c r="C20" i="9"/>
  <c r="G20" i="9"/>
  <c r="L20" i="9"/>
  <c r="R20" i="9"/>
  <c r="D20" i="9"/>
  <c r="AB20" i="9"/>
  <c r="V20" i="9"/>
  <c r="M20" i="9"/>
  <c r="S20" i="9"/>
  <c r="J20" i="9"/>
  <c r="E20" i="9"/>
  <c r="AC37" i="9"/>
  <c r="T37" i="9"/>
  <c r="B37" i="9"/>
  <c r="F37" i="9"/>
  <c r="J37" i="9"/>
  <c r="Z37" i="9"/>
  <c r="AD37" i="9"/>
  <c r="Q37" i="9"/>
  <c r="U37" i="9"/>
  <c r="C37" i="9"/>
  <c r="G37" i="9"/>
  <c r="K37" i="9"/>
  <c r="AA37" i="9"/>
  <c r="R37" i="9"/>
  <c r="W37" i="9"/>
  <c r="D37" i="9"/>
  <c r="L37" i="9"/>
  <c r="S37" i="9"/>
  <c r="I37" i="9"/>
  <c r="E37" i="9"/>
  <c r="AB37" i="9"/>
  <c r="M37" i="9"/>
  <c r="AD32" i="9"/>
  <c r="Z32" i="9"/>
  <c r="U32" i="9"/>
  <c r="Q32" i="9"/>
  <c r="M32" i="9"/>
  <c r="I32" i="9"/>
  <c r="D32" i="9"/>
  <c r="AC32" i="9"/>
  <c r="T32" i="9"/>
  <c r="L32" i="9"/>
  <c r="G32" i="9"/>
  <c r="C32" i="9"/>
  <c r="AB32" i="9"/>
  <c r="S32" i="9"/>
  <c r="K32" i="9"/>
  <c r="F32" i="9"/>
  <c r="B32" i="9"/>
  <c r="E32" i="9"/>
  <c r="W32" i="9"/>
  <c r="AA32" i="9"/>
  <c r="R32" i="9"/>
  <c r="J32" i="9"/>
  <c r="AC33" i="9"/>
  <c r="T33" i="9"/>
  <c r="E33" i="9"/>
  <c r="I33" i="9"/>
  <c r="M33" i="9"/>
  <c r="Z33" i="9"/>
  <c r="AD33" i="9"/>
  <c r="Q33" i="9"/>
  <c r="U33" i="9"/>
  <c r="B33" i="9"/>
  <c r="F33" i="9"/>
  <c r="J33" i="9"/>
  <c r="AA33" i="9"/>
  <c r="R33" i="9"/>
  <c r="W33" i="9"/>
  <c r="C33" i="9"/>
  <c r="G33" i="9"/>
  <c r="K33" i="9"/>
  <c r="S33" i="9"/>
  <c r="D33" i="9"/>
  <c r="AB33" i="9"/>
  <c r="L33" i="9"/>
  <c r="AB38" i="9"/>
  <c r="R38" i="9"/>
  <c r="W38" i="9"/>
  <c r="B38" i="9"/>
  <c r="F38" i="9"/>
  <c r="J38" i="9"/>
  <c r="AC38" i="9"/>
  <c r="S38" i="9"/>
  <c r="C38" i="9"/>
  <c r="G38" i="9"/>
  <c r="K38" i="9"/>
  <c r="Z38" i="9"/>
  <c r="AD38" i="9"/>
  <c r="T38" i="9"/>
  <c r="D38" i="9"/>
  <c r="L38" i="9"/>
  <c r="I38" i="9"/>
  <c r="AA38" i="9"/>
  <c r="Q38" i="9"/>
  <c r="M38" i="9"/>
  <c r="U38" i="9"/>
  <c r="E38" i="9"/>
  <c r="AB19" i="9"/>
  <c r="AF19" i="9"/>
  <c r="AK19" i="9"/>
  <c r="AC19" i="9"/>
  <c r="AH19" i="9"/>
  <c r="AL19" i="9"/>
  <c r="AD19" i="9"/>
  <c r="AI19" i="9"/>
  <c r="AE19" i="9"/>
  <c r="S19" i="9"/>
  <c r="X19" i="9"/>
  <c r="E19" i="9"/>
  <c r="J19" i="9"/>
  <c r="U19" i="9"/>
  <c r="AJ19" i="9"/>
  <c r="T19" i="9"/>
  <c r="B19" i="9"/>
  <c r="F19" i="9"/>
  <c r="K19" i="9"/>
  <c r="C19" i="9"/>
  <c r="AA19" i="9"/>
  <c r="V19" i="9"/>
  <c r="Q19" i="9"/>
  <c r="G19" i="9"/>
  <c r="L19" i="9"/>
  <c r="R19" i="9"/>
  <c r="D19" i="9"/>
  <c r="I19" i="9"/>
  <c r="M19" i="9"/>
  <c r="AA35" i="9"/>
  <c r="T35" i="9"/>
  <c r="C35" i="9"/>
  <c r="G35" i="9"/>
  <c r="K35" i="9"/>
  <c r="AB35" i="9"/>
  <c r="Q35" i="9"/>
  <c r="U35" i="9"/>
  <c r="D35" i="9"/>
  <c r="L35" i="9"/>
  <c r="AC35" i="9"/>
  <c r="R35" i="9"/>
  <c r="W35" i="9"/>
  <c r="E35" i="9"/>
  <c r="I35" i="9"/>
  <c r="M35" i="9"/>
  <c r="AD35" i="9"/>
  <c r="J35" i="9"/>
  <c r="Z35" i="9"/>
  <c r="S35" i="9"/>
  <c r="B35" i="9"/>
  <c r="F35" i="9"/>
  <c r="AI13" i="9"/>
  <c r="AD13" i="9"/>
  <c r="AL13" i="9"/>
  <c r="AH13" i="9"/>
  <c r="AC13" i="9"/>
  <c r="AK13" i="9"/>
  <c r="AF13" i="9"/>
  <c r="AB13" i="9"/>
  <c r="X13" i="9"/>
  <c r="S13" i="9"/>
  <c r="L13" i="9"/>
  <c r="G13" i="9"/>
  <c r="C13" i="9"/>
  <c r="AJ13" i="9"/>
  <c r="V13" i="9"/>
  <c r="R13" i="9"/>
  <c r="K13" i="9"/>
  <c r="F13" i="9"/>
  <c r="B13" i="9"/>
  <c r="AE13" i="9"/>
  <c r="U13" i="9"/>
  <c r="J13" i="9"/>
  <c r="T13" i="9"/>
  <c r="Q13" i="9"/>
  <c r="E13" i="9"/>
  <c r="AA13" i="9"/>
  <c r="M13" i="9"/>
  <c r="I13" i="9"/>
  <c r="D13" i="9"/>
  <c r="AB34" i="9"/>
  <c r="R34" i="9"/>
  <c r="W34" i="9"/>
  <c r="D34" i="9"/>
  <c r="L34" i="9"/>
  <c r="AC34" i="9"/>
  <c r="S34" i="9"/>
  <c r="E34" i="9"/>
  <c r="I34" i="9"/>
  <c r="M34" i="9"/>
  <c r="Z34" i="9"/>
  <c r="AD34" i="9"/>
  <c r="T34" i="9"/>
  <c r="B34" i="9"/>
  <c r="F34" i="9"/>
  <c r="J34" i="9"/>
  <c r="Q34" i="9"/>
  <c r="U34" i="9"/>
  <c r="K34" i="9"/>
  <c r="G34" i="9"/>
  <c r="AA34" i="9"/>
  <c r="C34" i="9"/>
  <c r="AD17" i="9"/>
  <c r="AI17" i="9"/>
  <c r="AA17" i="9"/>
  <c r="AE17" i="9"/>
  <c r="AJ17" i="9"/>
  <c r="AB17" i="9"/>
  <c r="AF17" i="9"/>
  <c r="AK17" i="9"/>
  <c r="R17" i="9"/>
  <c r="AL17" i="9"/>
  <c r="U17" i="9"/>
  <c r="C17" i="9"/>
  <c r="G17" i="9"/>
  <c r="L17" i="9"/>
  <c r="J17" i="9"/>
  <c r="Q17" i="9"/>
  <c r="V17" i="9"/>
  <c r="D17" i="9"/>
  <c r="I17" i="9"/>
  <c r="M17" i="9"/>
  <c r="S17" i="9"/>
  <c r="X17" i="9"/>
  <c r="E17" i="9"/>
  <c r="AC17" i="9"/>
  <c r="AH17" i="9"/>
  <c r="T17" i="9"/>
  <c r="K17" i="9"/>
  <c r="B17" i="9"/>
  <c r="F17" i="9"/>
  <c r="AB15" i="9"/>
  <c r="AF15" i="9"/>
  <c r="AK15" i="9"/>
  <c r="R15" i="9"/>
  <c r="V15" i="9"/>
  <c r="AC15" i="9"/>
  <c r="AH15" i="9"/>
  <c r="AL15" i="9"/>
  <c r="S15" i="9"/>
  <c r="X15" i="9"/>
  <c r="AD15" i="9"/>
  <c r="AI15" i="9"/>
  <c r="T15" i="9"/>
  <c r="AA15" i="9"/>
  <c r="B15" i="9"/>
  <c r="F15" i="9"/>
  <c r="K15" i="9"/>
  <c r="M15" i="9"/>
  <c r="AE15" i="9"/>
  <c r="Q15" i="9"/>
  <c r="C15" i="9"/>
  <c r="G15" i="9"/>
  <c r="L15" i="9"/>
  <c r="AJ15" i="9"/>
  <c r="D15" i="9"/>
  <c r="E15" i="9"/>
  <c r="U15" i="9"/>
  <c r="I15" i="9"/>
  <c r="J15" i="9"/>
  <c r="AA39" i="9"/>
  <c r="T39" i="9"/>
  <c r="B39" i="9"/>
  <c r="F39" i="9"/>
  <c r="J39" i="9"/>
  <c r="AB39" i="9"/>
  <c r="Q39" i="9"/>
  <c r="U39" i="9"/>
  <c r="C39" i="9"/>
  <c r="G39" i="9"/>
  <c r="K39" i="9"/>
  <c r="AC39" i="9"/>
  <c r="R39" i="9"/>
  <c r="W39" i="9"/>
  <c r="D39" i="9"/>
  <c r="L39" i="9"/>
  <c r="Z39" i="9"/>
  <c r="S39" i="9"/>
  <c r="AD39" i="9"/>
  <c r="I39" i="9"/>
  <c r="E39" i="9"/>
  <c r="M39" i="9"/>
  <c r="AA14" i="9"/>
  <c r="AE14" i="9"/>
  <c r="AJ14" i="9"/>
  <c r="Q14" i="9"/>
  <c r="U14" i="9"/>
  <c r="AB14" i="9"/>
  <c r="AF14" i="9"/>
  <c r="AK14" i="9"/>
  <c r="R14" i="9"/>
  <c r="V14" i="9"/>
  <c r="AC14" i="9"/>
  <c r="AH14" i="9"/>
  <c r="AL14" i="9"/>
  <c r="S14" i="9"/>
  <c r="X14" i="9"/>
  <c r="T14" i="9"/>
  <c r="B14" i="9"/>
  <c r="F14" i="9"/>
  <c r="K14" i="9"/>
  <c r="D14" i="9"/>
  <c r="AI14" i="9"/>
  <c r="C14" i="9"/>
  <c r="G14" i="9"/>
  <c r="L14" i="9"/>
  <c r="I14" i="9"/>
  <c r="E14" i="9"/>
  <c r="J14" i="9"/>
  <c r="AD14" i="9"/>
  <c r="M14" i="9"/>
  <c r="AA11" i="9"/>
  <c r="AE11" i="9"/>
  <c r="AJ11" i="9"/>
  <c r="S11" i="9"/>
  <c r="X11" i="9"/>
  <c r="AB11" i="9"/>
  <c r="AF11" i="9"/>
  <c r="AK11" i="9"/>
  <c r="T11" i="9"/>
  <c r="J11" i="9"/>
  <c r="E11" i="9"/>
  <c r="B11" i="9"/>
  <c r="AD11" i="9"/>
  <c r="V11" i="9"/>
  <c r="C11" i="9"/>
  <c r="G11" i="9"/>
  <c r="I11" i="9"/>
  <c r="D11" i="9"/>
  <c r="AC11" i="9"/>
  <c r="AH11" i="9"/>
  <c r="AL11" i="9"/>
  <c r="Q11" i="9"/>
  <c r="U11" i="9"/>
  <c r="K11" i="9"/>
  <c r="F11" i="9"/>
  <c r="AI11" i="9"/>
  <c r="R11" i="9"/>
  <c r="L11" i="9"/>
  <c r="M11" i="9"/>
  <c r="AA12" i="9"/>
  <c r="AE12" i="9"/>
  <c r="AJ12" i="9"/>
  <c r="T12" i="9"/>
  <c r="AB12" i="9"/>
  <c r="AF12" i="9"/>
  <c r="AK12" i="9"/>
  <c r="Q12" i="9"/>
  <c r="U12" i="9"/>
  <c r="I12" i="9"/>
  <c r="M12" i="9"/>
  <c r="D12" i="9"/>
  <c r="B12" i="9"/>
  <c r="X12" i="9"/>
  <c r="AC12" i="9"/>
  <c r="AH12" i="9"/>
  <c r="AL12" i="9"/>
  <c r="R12" i="9"/>
  <c r="V12" i="9"/>
  <c r="J12" i="9"/>
  <c r="E12" i="9"/>
  <c r="AD12" i="9"/>
  <c r="AI12" i="9"/>
  <c r="S12" i="9"/>
  <c r="K12" i="9"/>
  <c r="F12" i="9"/>
  <c r="L12" i="9"/>
  <c r="C12" i="9"/>
  <c r="G12" i="9"/>
  <c r="Z30" i="9"/>
  <c r="AD30" i="9"/>
  <c r="S30" i="9"/>
  <c r="B30" i="9"/>
  <c r="F30" i="9"/>
  <c r="J30" i="9"/>
  <c r="AA30" i="9"/>
  <c r="T30" i="9"/>
  <c r="C30" i="9"/>
  <c r="G30" i="9"/>
  <c r="K30" i="9"/>
  <c r="W30" i="9"/>
  <c r="M30" i="9"/>
  <c r="AB30" i="9"/>
  <c r="Q30" i="9"/>
  <c r="U30" i="9"/>
  <c r="D30" i="9"/>
  <c r="L30" i="9"/>
  <c r="AC30" i="9"/>
  <c r="R30" i="9"/>
  <c r="E30" i="9"/>
  <c r="I30" i="9"/>
  <c r="AC31" i="9"/>
  <c r="Q31" i="9"/>
  <c r="U31" i="9"/>
  <c r="B31" i="9"/>
  <c r="F31" i="9"/>
  <c r="Z31" i="9"/>
  <c r="AD31" i="9"/>
  <c r="R31" i="9"/>
  <c r="W31" i="9"/>
  <c r="C31" i="9"/>
  <c r="G31" i="9"/>
  <c r="K31" i="9"/>
  <c r="AB31" i="9"/>
  <c r="M31" i="9"/>
  <c r="AA31" i="9"/>
  <c r="S31" i="9"/>
  <c r="D31" i="9"/>
  <c r="L31" i="9"/>
  <c r="T31" i="9"/>
  <c r="E31" i="9"/>
  <c r="I31" i="9"/>
  <c r="J31" i="9"/>
  <c r="K25" i="9"/>
  <c r="L25" i="9"/>
  <c r="I25" i="9"/>
  <c r="M25" i="9"/>
  <c r="J25" i="9"/>
  <c r="N42" i="2"/>
  <c r="P42" i="2"/>
  <c r="O42" i="2"/>
  <c r="O43" i="2"/>
  <c r="N43" i="2"/>
  <c r="P43" i="2"/>
  <c r="P41" i="2"/>
  <c r="O41" i="2"/>
  <c r="N45" i="2"/>
  <c r="P45" i="2"/>
  <c r="O45" i="2"/>
  <c r="N46" i="2"/>
  <c r="O46" i="2"/>
  <c r="P46" i="2"/>
  <c r="P44" i="2"/>
  <c r="O44" i="2"/>
  <c r="N44" i="2"/>
  <c r="N18" i="2"/>
  <c r="O18" i="2"/>
  <c r="P18" i="2"/>
  <c r="H18" i="2" s="1"/>
  <c r="B25" i="9"/>
  <c r="AB25" i="9"/>
  <c r="C25" i="9"/>
  <c r="G25" i="9"/>
  <c r="AC25" i="9"/>
  <c r="D25" i="9"/>
  <c r="Z25" i="9"/>
  <c r="AD25" i="9"/>
  <c r="E25" i="9"/>
  <c r="AA25" i="9"/>
  <c r="F25" i="9"/>
  <c r="T25" i="9"/>
  <c r="S25" i="9"/>
  <c r="W25" i="9"/>
  <c r="Q25" i="9"/>
  <c r="U25" i="9"/>
  <c r="R25" i="9"/>
  <c r="E43" i="2"/>
  <c r="E18" i="2"/>
  <c r="E41" i="2"/>
  <c r="E45" i="2"/>
  <c r="E44" i="2"/>
  <c r="E46" i="2"/>
  <c r="W19" i="9" l="1"/>
  <c r="Y19" i="9" s="1"/>
  <c r="I33" i="2" s="1"/>
  <c r="J33" i="2" s="1"/>
  <c r="H34" i="9"/>
  <c r="H39" i="9"/>
  <c r="H38" i="9"/>
  <c r="H36" i="9"/>
  <c r="H35" i="9"/>
  <c r="H33" i="9"/>
  <c r="H32" i="9"/>
  <c r="H37" i="9"/>
  <c r="W14" i="9"/>
  <c r="Y14" i="9" s="1"/>
  <c r="I28" i="2" s="1"/>
  <c r="J28" i="2" s="1"/>
  <c r="W16" i="9"/>
  <c r="W11" i="9"/>
  <c r="W15" i="9"/>
  <c r="Y15" i="9" s="1"/>
  <c r="I29" i="2" s="1"/>
  <c r="J29" i="2" s="1"/>
  <c r="W17" i="9"/>
  <c r="Y17" i="9" s="1"/>
  <c r="I31" i="2" s="1"/>
  <c r="J31" i="2" s="1"/>
  <c r="W20" i="9"/>
  <c r="W18" i="9"/>
  <c r="Y18" i="9" s="1"/>
  <c r="I32" i="2" s="1"/>
  <c r="J32" i="2" s="1"/>
  <c r="W12" i="9"/>
  <c r="W13" i="9"/>
  <c r="Y13" i="9" s="1"/>
  <c r="I27" i="2" s="1"/>
  <c r="J27" i="2" s="1"/>
  <c r="Y12" i="9"/>
  <c r="I24" i="2" s="1"/>
  <c r="J24" i="2" s="1"/>
  <c r="Y11" i="9"/>
  <c r="I23" i="2" s="1"/>
  <c r="J23" i="2" s="1"/>
  <c r="N13" i="9"/>
  <c r="N39" i="9"/>
  <c r="N19" i="9"/>
  <c r="N16" i="9"/>
  <c r="Y16" i="9"/>
  <c r="I30" i="2" s="1"/>
  <c r="J30" i="2" s="1"/>
  <c r="N36" i="9"/>
  <c r="Y20" i="9"/>
  <c r="I34" i="2" s="1"/>
  <c r="J34" i="2" s="1"/>
  <c r="N15" i="9"/>
  <c r="H17" i="9"/>
  <c r="H20" i="9"/>
  <c r="H16" i="9"/>
  <c r="AM18" i="9"/>
  <c r="AG18" i="9"/>
  <c r="AM14" i="9"/>
  <c r="AG14" i="9"/>
  <c r="AM15" i="9"/>
  <c r="AG15" i="9"/>
  <c r="N17" i="9"/>
  <c r="AG17" i="9"/>
  <c r="AM17" i="9"/>
  <c r="N34" i="9"/>
  <c r="AM13" i="9"/>
  <c r="AG13" i="9"/>
  <c r="AG19" i="9"/>
  <c r="AM19" i="9"/>
  <c r="N38" i="9"/>
  <c r="AG20" i="9"/>
  <c r="AM20" i="9"/>
  <c r="N18" i="9"/>
  <c r="N14" i="9"/>
  <c r="AM16" i="9"/>
  <c r="AG16" i="9"/>
  <c r="H14" i="9"/>
  <c r="H15" i="9"/>
  <c r="H13" i="9"/>
  <c r="N35" i="9"/>
  <c r="H19" i="9"/>
  <c r="N33" i="9"/>
  <c r="N32" i="9"/>
  <c r="N37" i="9"/>
  <c r="N20" i="9"/>
  <c r="H18" i="9"/>
  <c r="H30" i="9"/>
  <c r="H31" i="9"/>
  <c r="AM11" i="9"/>
  <c r="N12" i="9"/>
  <c r="H11" i="9"/>
  <c r="N31" i="9"/>
  <c r="AG12" i="9"/>
  <c r="AM12" i="9"/>
  <c r="AG11" i="9"/>
  <c r="N30" i="9"/>
  <c r="H12" i="9"/>
  <c r="N11" i="9"/>
  <c r="AH6" i="9"/>
  <c r="AL6" i="9"/>
  <c r="AI6" i="9"/>
  <c r="AJ6" i="9"/>
  <c r="AA6" i="9"/>
  <c r="AK6" i="9"/>
  <c r="N25" i="9"/>
  <c r="H25" i="9"/>
  <c r="I27" i="9"/>
  <c r="M27" i="9"/>
  <c r="J27" i="9"/>
  <c r="K27" i="9"/>
  <c r="L27" i="9"/>
  <c r="L28" i="9"/>
  <c r="I28" i="9"/>
  <c r="M28" i="9"/>
  <c r="J28" i="9"/>
  <c r="K28" i="9"/>
  <c r="J26" i="9"/>
  <c r="K26" i="9"/>
  <c r="L26" i="9"/>
  <c r="I26" i="9"/>
  <c r="M26" i="9"/>
  <c r="L24" i="9"/>
  <c r="K24" i="9"/>
  <c r="J24" i="9"/>
  <c r="M24" i="9"/>
  <c r="I24" i="9"/>
  <c r="K29" i="9"/>
  <c r="L29" i="9"/>
  <c r="I29" i="9"/>
  <c r="M29" i="9"/>
  <c r="J29" i="9"/>
  <c r="AA26" i="9"/>
  <c r="F26" i="9"/>
  <c r="B26" i="9"/>
  <c r="AB26" i="9"/>
  <c r="C26" i="9"/>
  <c r="G26" i="9"/>
  <c r="AC26" i="9"/>
  <c r="D26" i="9"/>
  <c r="Z26" i="9"/>
  <c r="AD26" i="9"/>
  <c r="E26" i="9"/>
  <c r="AC24" i="9"/>
  <c r="D24" i="9"/>
  <c r="B24" i="9"/>
  <c r="AB24" i="9"/>
  <c r="G24" i="9"/>
  <c r="C24" i="9"/>
  <c r="AA24" i="9"/>
  <c r="F24" i="9"/>
  <c r="AD24" i="9"/>
  <c r="Z24" i="9"/>
  <c r="E24" i="9"/>
  <c r="W24" i="9"/>
  <c r="B29" i="9"/>
  <c r="AB29" i="9"/>
  <c r="C29" i="9"/>
  <c r="G29" i="9"/>
  <c r="AC29" i="9"/>
  <c r="D29" i="9"/>
  <c r="Z29" i="9"/>
  <c r="AD29" i="9"/>
  <c r="E29" i="9"/>
  <c r="AA29" i="9"/>
  <c r="F29" i="9"/>
  <c r="Z27" i="9"/>
  <c r="AD27" i="9"/>
  <c r="E27" i="9"/>
  <c r="AA27" i="9"/>
  <c r="F27" i="9"/>
  <c r="B27" i="9"/>
  <c r="AB27" i="9"/>
  <c r="C27" i="9"/>
  <c r="G27" i="9"/>
  <c r="AC27" i="9"/>
  <c r="D27" i="9"/>
  <c r="AC28" i="9"/>
  <c r="D28" i="9"/>
  <c r="Z28" i="9"/>
  <c r="AD28" i="9"/>
  <c r="E28" i="9"/>
  <c r="AA28" i="9"/>
  <c r="F28" i="9"/>
  <c r="B28" i="9"/>
  <c r="AB28" i="9"/>
  <c r="C28" i="9"/>
  <c r="G28" i="9"/>
  <c r="S26" i="9"/>
  <c r="T26" i="9"/>
  <c r="Q26" i="9"/>
  <c r="U26" i="9"/>
  <c r="R26" i="9"/>
  <c r="W26" i="9"/>
  <c r="AC6" i="9"/>
  <c r="J6" i="9"/>
  <c r="T6" i="9"/>
  <c r="AE6" i="9"/>
  <c r="AB6" i="9"/>
  <c r="U6" i="9"/>
  <c r="D6" i="9"/>
  <c r="B6" i="9"/>
  <c r="S6" i="9"/>
  <c r="AF6" i="9"/>
  <c r="I6" i="9"/>
  <c r="M6" i="9"/>
  <c r="R6" i="9"/>
  <c r="AD6" i="9"/>
  <c r="X6" i="9"/>
  <c r="F6" i="9"/>
  <c r="C6" i="9"/>
  <c r="V6" i="9"/>
  <c r="E6" i="9"/>
  <c r="K6" i="9"/>
  <c r="L6" i="9"/>
  <c r="G6" i="9"/>
  <c r="Q6" i="9"/>
  <c r="S27" i="9"/>
  <c r="Q27" i="9"/>
  <c r="T27" i="9"/>
  <c r="U27" i="9"/>
  <c r="R27" i="9"/>
  <c r="W27" i="9"/>
  <c r="Q24" i="9"/>
  <c r="T24" i="9"/>
  <c r="S24" i="9"/>
  <c r="R24" i="9"/>
  <c r="U24" i="9"/>
  <c r="R29" i="9"/>
  <c r="S29" i="9"/>
  <c r="T29" i="9"/>
  <c r="U29" i="9"/>
  <c r="Q29" i="9"/>
  <c r="W29" i="9"/>
  <c r="S28" i="9"/>
  <c r="T28" i="9"/>
  <c r="Q28" i="9"/>
  <c r="U28" i="9"/>
  <c r="R28" i="9"/>
  <c r="W28" i="9"/>
  <c r="O30" i="9" l="1"/>
  <c r="O25" i="9"/>
  <c r="O31" i="9"/>
  <c r="O32" i="9"/>
  <c r="O35" i="9"/>
  <c r="O38" i="9"/>
  <c r="O34" i="9"/>
  <c r="O37" i="9"/>
  <c r="O33" i="9"/>
  <c r="O36" i="9"/>
  <c r="O39" i="9"/>
  <c r="H50" i="2"/>
  <c r="H47" i="2"/>
  <c r="O16" i="9"/>
  <c r="K30" i="2" s="1"/>
  <c r="L30" i="2" s="1"/>
  <c r="W6" i="9"/>
  <c r="O19" i="9"/>
  <c r="K33" i="2" s="1"/>
  <c r="O15" i="9"/>
  <c r="K29" i="2" s="1"/>
  <c r="O13" i="9"/>
  <c r="K27" i="2" s="1"/>
  <c r="AN15" i="9"/>
  <c r="G29" i="2" s="1"/>
  <c r="AN20" i="9"/>
  <c r="G34" i="2" s="1"/>
  <c r="AN18" i="9"/>
  <c r="G32" i="2" s="1"/>
  <c r="O17" i="9"/>
  <c r="K31" i="2" s="1"/>
  <c r="AN16" i="9"/>
  <c r="G30" i="2" s="1"/>
  <c r="AN14" i="9"/>
  <c r="G28" i="2" s="1"/>
  <c r="O20" i="9"/>
  <c r="K34" i="2" s="1"/>
  <c r="AN13" i="9"/>
  <c r="G27" i="2" s="1"/>
  <c r="O18" i="9"/>
  <c r="K32" i="2" s="1"/>
  <c r="O14" i="9"/>
  <c r="K28" i="2" s="1"/>
  <c r="AN19" i="9"/>
  <c r="G33" i="2" s="1"/>
  <c r="AN17" i="9"/>
  <c r="G31" i="2" s="1"/>
  <c r="AN11" i="9"/>
  <c r="G23" i="2" s="1"/>
  <c r="O11" i="9"/>
  <c r="K23" i="2" s="1"/>
  <c r="AN12" i="9"/>
  <c r="G24" i="2" s="1"/>
  <c r="O12" i="9"/>
  <c r="K24" i="2" s="1"/>
  <c r="H24" i="9"/>
  <c r="H28" i="9"/>
  <c r="AM6" i="9"/>
  <c r="AG6" i="9"/>
  <c r="H27" i="9"/>
  <c r="H29" i="9"/>
  <c r="H26" i="9"/>
  <c r="N26" i="9"/>
  <c r="N28" i="9"/>
  <c r="N29" i="9"/>
  <c r="N24" i="9"/>
  <c r="N27" i="9"/>
  <c r="H6" i="9"/>
  <c r="N6" i="9"/>
  <c r="V39" i="9" l="1"/>
  <c r="AE39" i="9"/>
  <c r="AF39" i="9" s="1"/>
  <c r="K57" i="2" s="1"/>
  <c r="M57" i="2" s="1"/>
  <c r="V33" i="9"/>
  <c r="AE33" i="9"/>
  <c r="AF33" i="9" s="1"/>
  <c r="K51" i="2" s="1"/>
  <c r="M51" i="2" s="1"/>
  <c r="V34" i="9"/>
  <c r="X34" i="9" s="1"/>
  <c r="I52" i="2" s="1"/>
  <c r="AE34" i="9"/>
  <c r="AF34" i="9" s="1"/>
  <c r="K52" i="2" s="1"/>
  <c r="M52" i="2" s="1"/>
  <c r="V35" i="9"/>
  <c r="X35" i="9" s="1"/>
  <c r="I53" i="2" s="1"/>
  <c r="AE35" i="9"/>
  <c r="AF35" i="9" s="1"/>
  <c r="K53" i="2" s="1"/>
  <c r="M53" i="2" s="1"/>
  <c r="V31" i="9"/>
  <c r="AE31" i="9"/>
  <c r="V30" i="9"/>
  <c r="AE30" i="9"/>
  <c r="AF30" i="9" s="1"/>
  <c r="K47" i="2" s="1"/>
  <c r="M47" i="2" s="1"/>
  <c r="V36" i="9"/>
  <c r="AE36" i="9"/>
  <c r="V37" i="9"/>
  <c r="AE37" i="9"/>
  <c r="AF37" i="9" s="1"/>
  <c r="K55" i="2" s="1"/>
  <c r="M55" i="2" s="1"/>
  <c r="V38" i="9"/>
  <c r="X38" i="9" s="1"/>
  <c r="I56" i="2" s="1"/>
  <c r="AE38" i="9"/>
  <c r="V32" i="9"/>
  <c r="AE32" i="9"/>
  <c r="AF32" i="9" s="1"/>
  <c r="K50" i="2" s="1"/>
  <c r="M50" i="2" s="1"/>
  <c r="V25" i="9"/>
  <c r="AE25" i="9"/>
  <c r="AF25" i="9" s="1"/>
  <c r="K42" i="2" s="1"/>
  <c r="H57" i="2"/>
  <c r="H51" i="2"/>
  <c r="H54" i="2"/>
  <c r="H55" i="2"/>
  <c r="H56" i="2"/>
  <c r="O28" i="9"/>
  <c r="O29" i="9"/>
  <c r="H52" i="2"/>
  <c r="J52" i="2" s="1"/>
  <c r="H53" i="2"/>
  <c r="H48" i="2"/>
  <c r="O26" i="9"/>
  <c r="O27" i="9"/>
  <c r="O24" i="9"/>
  <c r="AE24" i="9" s="1"/>
  <c r="H42" i="2"/>
  <c r="H46" i="2"/>
  <c r="G54" i="2"/>
  <c r="Y6" i="9"/>
  <c r="I18" i="2" s="1"/>
  <c r="J18" i="2" s="1"/>
  <c r="AF38" i="9"/>
  <c r="K56" i="2" s="1"/>
  <c r="M56" i="2" s="1"/>
  <c r="G56" i="2"/>
  <c r="X33" i="9"/>
  <c r="I51" i="2" s="1"/>
  <c r="J51" i="2" s="1"/>
  <c r="X37" i="9"/>
  <c r="I55" i="2" s="1"/>
  <c r="M30" i="2"/>
  <c r="G53" i="2"/>
  <c r="J56" i="2"/>
  <c r="G52" i="2"/>
  <c r="G51" i="2"/>
  <c r="G57" i="2"/>
  <c r="X39" i="9"/>
  <c r="I57" i="2" s="1"/>
  <c r="G55" i="2"/>
  <c r="AF36" i="9"/>
  <c r="K54" i="2" s="1"/>
  <c r="M54" i="2" s="1"/>
  <c r="X32" i="9"/>
  <c r="I50" i="2" s="1"/>
  <c r="G50" i="2"/>
  <c r="X36" i="9"/>
  <c r="I54" i="2" s="1"/>
  <c r="J54" i="2" s="1"/>
  <c r="AF31" i="9"/>
  <c r="K48" i="2" s="1"/>
  <c r="M48" i="2" s="1"/>
  <c r="X31" i="9"/>
  <c r="I48" i="2" s="1"/>
  <c r="X30" i="9"/>
  <c r="I47" i="2" s="1"/>
  <c r="M27" i="2"/>
  <c r="L27" i="2"/>
  <c r="L28" i="2"/>
  <c r="M28" i="2"/>
  <c r="M32" i="2"/>
  <c r="L32" i="2"/>
  <c r="M34" i="2"/>
  <c r="L34" i="2"/>
  <c r="M31" i="2"/>
  <c r="L31" i="2"/>
  <c r="L29" i="2"/>
  <c r="M29" i="2"/>
  <c r="M33" i="2"/>
  <c r="L33" i="2"/>
  <c r="M23" i="2"/>
  <c r="L23" i="2"/>
  <c r="M24" i="2"/>
  <c r="L24" i="2"/>
  <c r="J53" i="2"/>
  <c r="G48" i="2"/>
  <c r="G47" i="2"/>
  <c r="AN6" i="9"/>
  <c r="G18" i="2" s="1"/>
  <c r="G42" i="2"/>
  <c r="O6" i="9"/>
  <c r="K18" i="2" s="1"/>
  <c r="A17" i="2"/>
  <c r="P17" i="2" s="1"/>
  <c r="A22" i="2"/>
  <c r="A19" i="2"/>
  <c r="A20" i="2"/>
  <c r="A21" i="2"/>
  <c r="V27" i="9" l="1"/>
  <c r="AE27" i="9"/>
  <c r="V28" i="9"/>
  <c r="AE28" i="9"/>
  <c r="V26" i="9"/>
  <c r="AE26" i="9"/>
  <c r="V29" i="9"/>
  <c r="AE29" i="9"/>
  <c r="J55" i="2"/>
  <c r="L55" i="2" s="1"/>
  <c r="H45" i="2"/>
  <c r="L56" i="2"/>
  <c r="H44" i="2"/>
  <c r="V24" i="9"/>
  <c r="H43" i="2"/>
  <c r="H41" i="2"/>
  <c r="L53" i="2"/>
  <c r="L52" i="2"/>
  <c r="J57" i="2"/>
  <c r="L57" i="2" s="1"/>
  <c r="L51" i="2"/>
  <c r="L54" i="2"/>
  <c r="J50" i="2"/>
  <c r="L50" i="2" s="1"/>
  <c r="H17" i="2"/>
  <c r="L18" i="2"/>
  <c r="M18" i="2"/>
  <c r="J47" i="2"/>
  <c r="L47" i="2" s="1"/>
  <c r="J48" i="2"/>
  <c r="L48" i="2" s="1"/>
  <c r="M42" i="2"/>
  <c r="G46" i="2"/>
  <c r="G43" i="2"/>
  <c r="G44" i="2"/>
  <c r="G45" i="2"/>
  <c r="G41" i="2"/>
  <c r="O21" i="2"/>
  <c r="P21" i="2"/>
  <c r="H21" i="2" s="1"/>
  <c r="N21" i="2"/>
  <c r="O17" i="2"/>
  <c r="N17" i="2"/>
  <c r="N19" i="2"/>
  <c r="O19" i="2"/>
  <c r="P19" i="2"/>
  <c r="H19" i="2" s="1"/>
  <c r="P20" i="2"/>
  <c r="H20" i="2" s="1"/>
  <c r="O20" i="2"/>
  <c r="N20" i="2"/>
  <c r="N22" i="2"/>
  <c r="O22" i="2"/>
  <c r="P22" i="2"/>
  <c r="H22" i="2" s="1"/>
  <c r="X25" i="9"/>
  <c r="I42" i="2" s="1"/>
  <c r="J42" i="2" s="1"/>
  <c r="L42" i="2" s="1"/>
  <c r="E21" i="2"/>
  <c r="E19" i="2"/>
  <c r="E20" i="2"/>
  <c r="E22" i="2"/>
  <c r="AB10" i="9" s="1"/>
  <c r="E17" i="2"/>
  <c r="AI5" i="9" l="1"/>
  <c r="Q5" i="9"/>
  <c r="AL5" i="9"/>
  <c r="AH5" i="9"/>
  <c r="AK5" i="9"/>
  <c r="AJ5" i="9"/>
  <c r="AA5" i="9"/>
  <c r="X9" i="9"/>
  <c r="AI9" i="9"/>
  <c r="AJ9" i="9"/>
  <c r="AA9" i="9"/>
  <c r="AK9" i="9"/>
  <c r="AH9" i="9"/>
  <c r="AL9" i="9"/>
  <c r="X10" i="9"/>
  <c r="AH10" i="9"/>
  <c r="AL10" i="9"/>
  <c r="AI10" i="9"/>
  <c r="AJ10" i="9"/>
  <c r="AA10" i="9"/>
  <c r="AK10" i="9"/>
  <c r="X8" i="9"/>
  <c r="AJ8" i="9"/>
  <c r="AA8" i="9"/>
  <c r="AK8" i="9"/>
  <c r="AH8" i="9"/>
  <c r="AL8" i="9"/>
  <c r="AI8" i="9"/>
  <c r="X7" i="9"/>
  <c r="AK7" i="9"/>
  <c r="AH7" i="9"/>
  <c r="AL7" i="9"/>
  <c r="AI7" i="9"/>
  <c r="AJ7" i="9"/>
  <c r="AA7" i="9"/>
  <c r="AF5" i="9"/>
  <c r="F5" i="9"/>
  <c r="AB7" i="9"/>
  <c r="R10" i="9"/>
  <c r="G9" i="9"/>
  <c r="AB5" i="9"/>
  <c r="E5" i="9"/>
  <c r="B9" i="9"/>
  <c r="AC5" i="9"/>
  <c r="E10" i="9"/>
  <c r="B10" i="9"/>
  <c r="G5" i="9"/>
  <c r="AD5" i="9"/>
  <c r="AC10" i="9"/>
  <c r="K10" i="9"/>
  <c r="M10" i="9"/>
  <c r="C9" i="9"/>
  <c r="K5" i="9"/>
  <c r="T5" i="9"/>
  <c r="L5" i="9"/>
  <c r="I5" i="9"/>
  <c r="AE5" i="9"/>
  <c r="S5" i="9"/>
  <c r="AE9" i="9"/>
  <c r="AD9" i="9"/>
  <c r="AC9" i="9"/>
  <c r="R9" i="9"/>
  <c r="C5" i="9"/>
  <c r="F9" i="9"/>
  <c r="U5" i="9"/>
  <c r="M5" i="9"/>
  <c r="R5" i="9"/>
  <c r="J5" i="9"/>
  <c r="I9" i="9"/>
  <c r="AB9" i="9"/>
  <c r="M9" i="9"/>
  <c r="Q9" i="9"/>
  <c r="K9" i="9"/>
  <c r="D5" i="9"/>
  <c r="E9" i="9"/>
  <c r="D9" i="9"/>
  <c r="L9" i="9"/>
  <c r="V9" i="9"/>
  <c r="AF9" i="9"/>
  <c r="U9" i="9"/>
  <c r="J9" i="9"/>
  <c r="T9" i="9"/>
  <c r="S9" i="9"/>
  <c r="L10" i="9"/>
  <c r="C10" i="9"/>
  <c r="D10" i="9"/>
  <c r="F10" i="9"/>
  <c r="U10" i="9"/>
  <c r="T10" i="9"/>
  <c r="S10" i="9"/>
  <c r="V10" i="9"/>
  <c r="G10" i="9"/>
  <c r="AF10" i="9"/>
  <c r="AE10" i="9"/>
  <c r="AD10" i="9"/>
  <c r="J10" i="9"/>
  <c r="Q10" i="9"/>
  <c r="I10" i="9"/>
  <c r="F8" i="9"/>
  <c r="B7" i="9"/>
  <c r="D8" i="9"/>
  <c r="I7" i="9"/>
  <c r="G8" i="9"/>
  <c r="C7" i="9"/>
  <c r="F7" i="9"/>
  <c r="AC8" i="9"/>
  <c r="C8" i="9"/>
  <c r="G7" i="9"/>
  <c r="E7" i="9"/>
  <c r="K7" i="9"/>
  <c r="B8" i="9"/>
  <c r="E8" i="9"/>
  <c r="D7" i="9"/>
  <c r="AF8" i="9"/>
  <c r="AD8" i="9"/>
  <c r="Q7" i="9"/>
  <c r="L8" i="9"/>
  <c r="Q8" i="9"/>
  <c r="I8" i="9"/>
  <c r="AB8" i="9"/>
  <c r="L7" i="9"/>
  <c r="T7" i="9"/>
  <c r="S7" i="9"/>
  <c r="J7" i="9"/>
  <c r="V7" i="9"/>
  <c r="AD7" i="9"/>
  <c r="U7" i="9"/>
  <c r="S8" i="9"/>
  <c r="K8" i="9"/>
  <c r="V8" i="9"/>
  <c r="AE8" i="9"/>
  <c r="U8" i="9"/>
  <c r="M8" i="9"/>
  <c r="T8" i="9"/>
  <c r="R7" i="9"/>
  <c r="M7" i="9"/>
  <c r="R8" i="9"/>
  <c r="J8" i="9"/>
  <c r="AF7" i="9"/>
  <c r="AE7" i="9"/>
  <c r="AC7" i="9"/>
  <c r="B5" i="9"/>
  <c r="V5" i="9"/>
  <c r="X5" i="9"/>
  <c r="W9" i="9" l="1"/>
  <c r="W8" i="9"/>
  <c r="W7" i="9"/>
  <c r="Y7" i="9" s="1"/>
  <c r="I19" i="2" s="1"/>
  <c r="J19" i="2" s="1"/>
  <c r="W10" i="9"/>
  <c r="W5" i="9"/>
  <c r="AG9" i="9"/>
  <c r="AM9" i="9"/>
  <c r="AM5" i="9"/>
  <c r="AG5" i="9"/>
  <c r="AM7" i="9"/>
  <c r="AG7" i="9"/>
  <c r="AG8" i="9"/>
  <c r="AM8" i="9"/>
  <c r="AM10" i="9"/>
  <c r="AG10" i="9"/>
  <c r="N5" i="9"/>
  <c r="H5" i="9"/>
  <c r="N9" i="9"/>
  <c r="H9" i="9"/>
  <c r="H10" i="9"/>
  <c r="N10" i="9"/>
  <c r="N7" i="9"/>
  <c r="H7" i="9"/>
  <c r="N8" i="9"/>
  <c r="H8" i="9"/>
  <c r="Y10" i="9" l="1"/>
  <c r="I22" i="2" s="1"/>
  <c r="J22" i="2" s="1"/>
  <c r="Y9" i="9"/>
  <c r="I21" i="2" s="1"/>
  <c r="Y8" i="9"/>
  <c r="I20" i="2" s="1"/>
  <c r="J20" i="2" s="1"/>
  <c r="Y5" i="9"/>
  <c r="I17" i="2" s="1"/>
  <c r="J17" i="2" s="1"/>
  <c r="AN5" i="9"/>
  <c r="G17" i="2" s="1"/>
  <c r="AN10" i="9"/>
  <c r="G22" i="2" s="1"/>
  <c r="AN7" i="9"/>
  <c r="G19" i="2" s="1"/>
  <c r="AN8" i="9"/>
  <c r="G20" i="2" s="1"/>
  <c r="AN9" i="9"/>
  <c r="G21" i="2" s="1"/>
  <c r="O8" i="9"/>
  <c r="K20" i="2" s="1"/>
  <c r="O5" i="9"/>
  <c r="K17" i="2" s="1"/>
  <c r="O7" i="9"/>
  <c r="K19" i="2" s="1"/>
  <c r="O9" i="9"/>
  <c r="K21" i="2" s="1"/>
  <c r="O10" i="9"/>
  <c r="K22" i="2" s="1"/>
  <c r="AF29" i="9"/>
  <c r="K46" i="2" s="1"/>
  <c r="AF26" i="9"/>
  <c r="K43" i="2" s="1"/>
  <c r="AF28" i="9"/>
  <c r="K45" i="2" s="1"/>
  <c r="AF27" i="9"/>
  <c r="K44" i="2" s="1"/>
  <c r="AF24" i="9"/>
  <c r="K41" i="2" s="1"/>
  <c r="X29" i="9"/>
  <c r="I46" i="2" s="1"/>
  <c r="J46" i="2" s="1"/>
  <c r="J21" i="2" l="1"/>
  <c r="L21" i="2" s="1"/>
  <c r="M17" i="2"/>
  <c r="L17" i="2"/>
  <c r="M21" i="2"/>
  <c r="L22" i="2"/>
  <c r="M22" i="2"/>
  <c r="M19" i="2"/>
  <c r="L19" i="2"/>
  <c r="L20" i="2"/>
  <c r="M20" i="2"/>
  <c r="M44" i="2"/>
  <c r="M41" i="2"/>
  <c r="M43" i="2"/>
  <c r="M46" i="2"/>
  <c r="L46" i="2"/>
  <c r="M45" i="2"/>
  <c r="X26" i="9"/>
  <c r="I43" i="2" s="1"/>
  <c r="J43" i="2" s="1"/>
  <c r="L43" i="2" s="1"/>
  <c r="X28" i="9"/>
  <c r="I45" i="2" s="1"/>
  <c r="J45" i="2" s="1"/>
  <c r="L45" i="2" s="1"/>
  <c r="X27" i="9"/>
  <c r="I44" i="2" s="1"/>
  <c r="J44" i="2" s="1"/>
  <c r="L44" i="2" s="1"/>
  <c r="X24" i="9"/>
  <c r="I41" i="2" s="1"/>
  <c r="J41" i="2" s="1"/>
  <c r="L41" i="2" s="1"/>
</calcChain>
</file>

<file path=xl/sharedStrings.xml><?xml version="1.0" encoding="utf-8"?>
<sst xmlns="http://schemas.openxmlformats.org/spreadsheetml/2006/main" count="744" uniqueCount="184">
  <si>
    <t>T^3</t>
  </si>
  <si>
    <t>T^2</t>
  </si>
  <si>
    <t>CCT</t>
  </si>
  <si>
    <t>Tc</t>
  </si>
  <si>
    <t>I^3</t>
  </si>
  <si>
    <t>I^2</t>
  </si>
  <si>
    <t>Part Number</t>
  </si>
  <si>
    <t>Rev 1</t>
  </si>
  <si>
    <t>Section 1</t>
  </si>
  <si>
    <t>Case Temperature (°C):</t>
  </si>
  <si>
    <t>Case</t>
  </si>
  <si>
    <t>Section 2</t>
  </si>
  <si>
    <t>Calculate lumens for selected drive current</t>
  </si>
  <si>
    <t>Config</t>
  </si>
  <si>
    <t>Max Drive
Current
(mA)</t>
  </si>
  <si>
    <t>A</t>
  </si>
  <si>
    <t>T^4</t>
  </si>
  <si>
    <t>I^4</t>
  </si>
  <si>
    <t>Master Table</t>
  </si>
  <si>
    <t>Product Family</t>
  </si>
  <si>
    <t>Lumen Family</t>
  </si>
  <si>
    <t>Generation</t>
  </si>
  <si>
    <t>P/N</t>
  </si>
  <si>
    <t>Typical Lumens</t>
  </si>
  <si>
    <t>Typical Efficacy</t>
  </si>
  <si>
    <t>Typical Voltage</t>
  </si>
  <si>
    <t>Typical Current</t>
  </si>
  <si>
    <t>Max Current</t>
  </si>
  <si>
    <t>V^4</t>
  </si>
  <si>
    <t>V^3</t>
  </si>
  <si>
    <t>V^2</t>
  </si>
  <si>
    <t>V</t>
  </si>
  <si>
    <t>V0</t>
  </si>
  <si>
    <t>I</t>
  </si>
  <si>
    <t>I0</t>
  </si>
  <si>
    <t>T</t>
  </si>
  <si>
    <t>T0</t>
  </si>
  <si>
    <t>BXRV</t>
  </si>
  <si>
    <t>Tunable White Array</t>
  </si>
  <si>
    <t>Nominal CCT+CRI</t>
  </si>
  <si>
    <t>Temperature Vs Flux</t>
  </si>
  <si>
    <t>LOP v Current</t>
  </si>
  <si>
    <t>Voltage v Current</t>
  </si>
  <si>
    <t>dV/dT (mV/C)</t>
  </si>
  <si>
    <t>1830G</t>
  </si>
  <si>
    <t>Typical Values</t>
  </si>
  <si>
    <t>6mm</t>
  </si>
  <si>
    <t>Product LES</t>
  </si>
  <si>
    <t>9mm</t>
  </si>
  <si>
    <t>13mm</t>
  </si>
  <si>
    <t>15mm</t>
  </si>
  <si>
    <t>Enter WARM WHITE Current in mA:</t>
  </si>
  <si>
    <t>1800K-3000K, 90 CRI</t>
  </si>
  <si>
    <t>Code</t>
  </si>
  <si>
    <t>LES-Type</t>
  </si>
  <si>
    <t>Tech</t>
  </si>
  <si>
    <t>PF+CCT+Tech</t>
  </si>
  <si>
    <t>Nominal Flux - Warm White</t>
  </si>
  <si>
    <t>Inputs</t>
  </si>
  <si>
    <t>Nominal Voltage</t>
  </si>
  <si>
    <t>dV@T</t>
  </si>
  <si>
    <t>Current Calculations</t>
  </si>
  <si>
    <t>Enter color range/CRI and temperature values:</t>
  </si>
  <si>
    <t>B</t>
  </si>
  <si>
    <t>-</t>
  </si>
  <si>
    <t>Bridgelux® Product Simulator</t>
  </si>
  <si>
    <t>User Guide</t>
  </si>
  <si>
    <t>What does it do?</t>
  </si>
  <si>
    <t>What products are supported?</t>
  </si>
  <si>
    <t>How do I use the Product Simulator?</t>
  </si>
  <si>
    <r>
      <t>1.</t>
    </r>
    <r>
      <rPr>
        <sz val="7"/>
        <color theme="1"/>
        <rFont val="Times New Roman"/>
        <family val="1"/>
      </rPr>
      <t>     </t>
    </r>
    <r>
      <rPr>
        <sz val="11"/>
        <color theme="1"/>
        <rFont val="Calibri"/>
        <family val="2"/>
      </rPr>
      <t>Enter basic information about your application in Section 1 of the Simulator</t>
    </r>
  </si>
  <si>
    <r>
      <t>·</t>
    </r>
    <r>
      <rPr>
        <sz val="7"/>
        <color theme="1"/>
        <rFont val="Times New Roman"/>
        <family val="1"/>
      </rPr>
      <t xml:space="preserve">         </t>
    </r>
    <r>
      <rPr>
        <sz val="11"/>
        <color theme="1"/>
        <rFont val="Calibri"/>
        <family val="2"/>
      </rPr>
      <t>Enter the operating Case Temperature in degrees Celsius:</t>
    </r>
  </si>
  <si>
    <t>·         The Simulator will show product options and required drive currents for Gen. 8 Vero and V Series products</t>
  </si>
  <si>
    <r>
      <t>Note: typical lumen tested under pulsed condition (10ms pulse width) at nominal test current where T</t>
    </r>
    <r>
      <rPr>
        <vertAlign val="subscript"/>
        <sz val="11"/>
        <color theme="1"/>
        <rFont val="Calibri"/>
        <family val="2"/>
      </rPr>
      <t>j</t>
    </r>
    <r>
      <rPr>
        <sz val="11"/>
        <color theme="1"/>
        <rFont val="Calibri"/>
        <family val="2"/>
      </rPr>
      <t xml:space="preserve"> (junction temperature) = T</t>
    </r>
    <r>
      <rPr>
        <vertAlign val="subscript"/>
        <sz val="11"/>
        <color theme="1"/>
        <rFont val="Calibri"/>
        <family val="2"/>
      </rPr>
      <t>c</t>
    </r>
    <r>
      <rPr>
        <sz val="11"/>
        <color theme="1"/>
        <rFont val="Calibri"/>
        <family val="2"/>
      </rPr>
      <t xml:space="preserve"> (case temperature) = 25°C</t>
    </r>
  </si>
  <si>
    <t>How do I read the Part Number?</t>
  </si>
  <si>
    <t>For product nomenclature refer to product datasheets.</t>
  </si>
  <si>
    <t>As an example, the part number designation for Bridgelux Gen. 8 Vero LED arrays is explained as follows:</t>
  </si>
  <si>
    <t>Where:</t>
  </si>
  <si>
    <t>Disclaimer</t>
  </si>
  <si>
    <t>Please note that the Product Simulator is solely intended to help ease your selection of Bridgelux LED array products based upon your selection of attribute options for each of the criteria provided in the Product Simulator. The Product Simulator is NOT intended as a design tool for luminaire or fixture products nor intended for the selection of LED array products to be used as a component in a particular luminaire or fixture application. Bridgelux disclaims all liability for the results of any product selection through the use of the Product Simulator.</t>
  </si>
  <si>
    <r>
      <t>1.</t>
    </r>
    <r>
      <rPr>
        <sz val="7"/>
        <color theme="1"/>
        <rFont val="Times New Roman"/>
        <family val="1"/>
      </rPr>
      <t xml:space="preserve">       </t>
    </r>
    <r>
      <rPr>
        <sz val="11"/>
        <color theme="1"/>
        <rFont val="Calibri"/>
        <family val="2"/>
      </rPr>
      <t>Calculated values in the Product Simulator are measured under stabilized direct current conditions to more accurately represent the COB performance in a typical fixture application. Please refer to the appropriate COB Datasheet and Product Selection Guide for pulsed measurement specifications.</t>
    </r>
  </si>
  <si>
    <t>Color Temperature Range and CRI:</t>
  </si>
  <si>
    <r>
      <t>·</t>
    </r>
    <r>
      <rPr>
        <sz val="7"/>
        <color theme="1"/>
        <rFont val="Times New Roman"/>
        <family val="1"/>
      </rPr>
      <t xml:space="preserve">         </t>
    </r>
    <r>
      <rPr>
        <sz val="11"/>
        <color theme="1"/>
        <rFont val="Calibri"/>
        <family val="2"/>
      </rPr>
      <t>Select the required CCT Range and CRI from the drop down menu:</t>
    </r>
  </si>
  <si>
    <t>currents of warm and cool channels</t>
  </si>
  <si>
    <t>Section 3</t>
  </si>
  <si>
    <r>
      <rPr>
        <b/>
        <sz val="11"/>
        <color theme="1"/>
        <rFont val="Calibri"/>
        <family val="2"/>
      </rPr>
      <t>BXRV</t>
    </r>
    <r>
      <rPr>
        <sz val="11"/>
        <color theme="1"/>
        <rFont val="Calibri"/>
        <family val="2"/>
      </rPr>
      <t xml:space="preserve"> – Designates product family</t>
    </r>
  </si>
  <si>
    <r>
      <rPr>
        <b/>
        <sz val="11"/>
        <color theme="1"/>
        <rFont val="Calibri"/>
        <family val="2"/>
      </rPr>
      <t>G</t>
    </r>
    <r>
      <rPr>
        <sz val="11"/>
        <color theme="1"/>
        <rFont val="Calibri"/>
        <family val="2"/>
      </rPr>
      <t xml:space="preserve"> – Designates minimum CRI; G = 90 typical</t>
    </r>
  </si>
  <si>
    <r>
      <rPr>
        <b/>
        <sz val="11"/>
        <color theme="1"/>
        <rFont val="Calibri"/>
        <family val="2"/>
      </rPr>
      <t>HIJK</t>
    </r>
    <r>
      <rPr>
        <sz val="11"/>
        <color theme="1"/>
        <rFont val="Calibri"/>
        <family val="2"/>
      </rPr>
      <t xml:space="preserve"> – Designates typical lumen values and DP configuration, for example, 06A0 indicates 600 lumens and DP technology</t>
    </r>
  </si>
  <si>
    <t>BXRC – AB - CDEFG – HIJK – L-MN</t>
  </si>
  <si>
    <r>
      <rPr>
        <b/>
        <sz val="11"/>
        <color theme="1"/>
        <rFont val="Calibri"/>
        <family val="2"/>
      </rPr>
      <t>L</t>
    </r>
    <r>
      <rPr>
        <sz val="11"/>
        <color theme="1"/>
        <rFont val="Calibri"/>
        <family val="2"/>
      </rPr>
      <t xml:space="preserve"> – Designates Voltage configuration</t>
    </r>
  </si>
  <si>
    <r>
      <rPr>
        <b/>
        <sz val="11"/>
        <color theme="1"/>
        <rFont val="新細明體"/>
        <family val="2"/>
        <scheme val="minor"/>
      </rPr>
      <t>MN</t>
    </r>
    <r>
      <rPr>
        <sz val="11"/>
        <color theme="1"/>
        <rFont val="新細明體"/>
        <family val="2"/>
        <scheme val="minor"/>
      </rPr>
      <t>- Designates the Generation and SDCM range</t>
    </r>
  </si>
  <si>
    <t>1800K-2700K, 90 CRI</t>
  </si>
  <si>
    <t>1827G</t>
  </si>
  <si>
    <t>1800K-2700K, 95CRI</t>
  </si>
  <si>
    <t>1827H</t>
  </si>
  <si>
    <t>1800K-3000K, 95 CRI</t>
  </si>
  <si>
    <t>1830H</t>
  </si>
  <si>
    <t>G</t>
  </si>
  <si>
    <t>6mm-A</t>
  </si>
  <si>
    <t>9mm-G</t>
  </si>
  <si>
    <t>9mm-A</t>
  </si>
  <si>
    <t>9mm-B</t>
  </si>
  <si>
    <t>13mm-A</t>
  </si>
  <si>
    <t>15mm-A</t>
  </si>
  <si>
    <t>DR</t>
  </si>
  <si>
    <t>0600</t>
  </si>
  <si>
    <t>Bridgelux Dim-to-Warm Product Simulator</t>
  </si>
  <si>
    <t>Voltage
(V)</t>
  </si>
  <si>
    <t>Power
(W)</t>
  </si>
  <si>
    <t>Nominal
 Current
 (mA)</t>
  </si>
  <si>
    <t>Current</t>
  </si>
  <si>
    <t>Current (mA)</t>
  </si>
  <si>
    <t>2000</t>
  </si>
  <si>
    <t>Flux</t>
  </si>
  <si>
    <t>Warm</t>
  </si>
  <si>
    <t>Dim</t>
  </si>
  <si>
    <t>Nominal</t>
  </si>
  <si>
    <t>LOP</t>
  </si>
  <si>
    <t>Current Vs CCT (lower table)</t>
  </si>
  <si>
    <t>CCT^4</t>
  </si>
  <si>
    <t>CCT^3</t>
  </si>
  <si>
    <t>CCT^2</t>
  </si>
  <si>
    <t>CCT^1</t>
  </si>
  <si>
    <t>CCT^0</t>
  </si>
  <si>
    <t>K^4</t>
  </si>
  <si>
    <t>K^3</t>
  </si>
  <si>
    <t>K^2</t>
  </si>
  <si>
    <t>K^1</t>
  </si>
  <si>
    <t>K^0</t>
  </si>
  <si>
    <t>Current Output for Given CCT Requirement</t>
  </si>
  <si>
    <t>Lumen and CCT Output at Required Drive Current</t>
  </si>
  <si>
    <t>FxT</t>
  </si>
  <si>
    <t>Temp</t>
  </si>
  <si>
    <t>CCT Calculations</t>
  </si>
  <si>
    <t>Lumens@T</t>
  </si>
  <si>
    <t>MinCurrent</t>
  </si>
  <si>
    <t>K^12</t>
  </si>
  <si>
    <t>CCT^02</t>
  </si>
  <si>
    <t>Under 2900</t>
  </si>
  <si>
    <t>Over 2900</t>
  </si>
  <si>
    <t>K^42</t>
  </si>
  <si>
    <t>K^32</t>
  </si>
  <si>
    <t>K^22</t>
  </si>
  <si>
    <t>K^02</t>
  </si>
  <si>
    <t>Enter CCT requirement in Kelvin</t>
  </si>
  <si>
    <t>CCT^42</t>
  </si>
  <si>
    <t>CCT^32</t>
  </si>
  <si>
    <t>CCT^22</t>
  </si>
  <si>
    <t>CCT^12</t>
  </si>
  <si>
    <t>Under 75% Nominal</t>
  </si>
  <si>
    <t>Over 75% Nominal</t>
  </si>
  <si>
    <t>CCT vs Current up to 75%</t>
  </si>
  <si>
    <t>CCT vs Current over 75%</t>
  </si>
  <si>
    <t>Dim
 Current
 (mA)</t>
  </si>
  <si>
    <t>18mm</t>
  </si>
  <si>
    <t>29mm</t>
  </si>
  <si>
    <t>10K0</t>
  </si>
  <si>
    <t>18mm-A</t>
  </si>
  <si>
    <t>29mm-A</t>
  </si>
  <si>
    <t>Vesta-SE 6mm</t>
  </si>
  <si>
    <t>Vesta-SE 9mm</t>
  </si>
  <si>
    <t>Vesta-SE 13mm</t>
  </si>
  <si>
    <t>Vesta-SE 15mm</t>
  </si>
  <si>
    <t>Vesta-SE 18mm</t>
  </si>
  <si>
    <t>Vesta-SE 29mm</t>
  </si>
  <si>
    <t>Vesta Series Dim-to-Warm</t>
  </si>
  <si>
    <t>Vesta-SE 6mm-A</t>
  </si>
  <si>
    <t>Vesta-SE 9mm-G</t>
  </si>
  <si>
    <t>Vesta-SE 9mm-A</t>
  </si>
  <si>
    <t>Vesta-SE 9mm-B</t>
  </si>
  <si>
    <t>Vesta-SE 13mm-A</t>
  </si>
  <si>
    <t>Vesta-SE 15mm-A</t>
  </si>
  <si>
    <t>Vesta-SE 18mm-A</t>
  </si>
  <si>
    <t>Vesta-SE 29mm-A</t>
  </si>
  <si>
    <r>
      <t xml:space="preserve">Use this tool to select the most suitable Bridgelux® Dim to Warm Array for an application. You can choose the array based on either the </t>
    </r>
    <r>
      <rPr>
        <b/>
        <sz val="11"/>
        <color theme="1"/>
        <rFont val="Calibri"/>
        <family val="2"/>
      </rPr>
      <t xml:space="preserve">DRIVE CURRENT </t>
    </r>
    <r>
      <rPr>
        <sz val="11"/>
        <color theme="1"/>
        <rFont val="Calibri"/>
        <family val="2"/>
      </rPr>
      <t xml:space="preserve">you want to use or the </t>
    </r>
    <r>
      <rPr>
        <b/>
        <sz val="11"/>
        <color theme="1"/>
        <rFont val="Calibri"/>
        <family val="2"/>
      </rPr>
      <t>CCT OUTPUT</t>
    </r>
    <r>
      <rPr>
        <sz val="11"/>
        <color theme="1"/>
        <rFont val="Calibri"/>
        <family val="2"/>
      </rPr>
      <t xml:space="preserve"> you require.</t>
    </r>
  </si>
  <si>
    <t>This tool will help you select Bridgelux® Dim to Warm products</t>
  </si>
  <si>
    <r>
      <t>2.</t>
    </r>
    <r>
      <rPr>
        <sz val="7"/>
        <color theme="1"/>
        <rFont val="Times New Roman"/>
        <family val="1"/>
      </rPr>
      <t>     </t>
    </r>
    <r>
      <rPr>
        <sz val="11"/>
        <color theme="1"/>
        <rFont val="Calibri"/>
        <family val="2"/>
      </rPr>
      <t xml:space="preserve">If you are designing to a fixed </t>
    </r>
    <r>
      <rPr>
        <b/>
        <sz val="11"/>
        <color theme="1"/>
        <rFont val="Calibri"/>
        <family val="2"/>
      </rPr>
      <t>DRIVE CURRENT</t>
    </r>
    <r>
      <rPr>
        <sz val="11"/>
        <color theme="1"/>
        <rFont val="Calibri"/>
        <family val="2"/>
      </rPr>
      <t xml:space="preserve"> go to Section 2 and enter the required drive</t>
    </r>
  </si>
  <si>
    <t>·         The Simulator will show product options for Dim to Warm Products</t>
  </si>
  <si>
    <r>
      <t>3.</t>
    </r>
    <r>
      <rPr>
        <sz val="7"/>
        <color theme="1"/>
        <rFont val="Times New Roman"/>
        <family val="1"/>
      </rPr>
      <t>     </t>
    </r>
    <r>
      <rPr>
        <sz val="11"/>
        <color theme="1"/>
        <rFont val="Calibri"/>
        <family val="2"/>
      </rPr>
      <t xml:space="preserve">If you are designing to meet a required </t>
    </r>
    <r>
      <rPr>
        <b/>
        <sz val="11"/>
        <color theme="1"/>
        <rFont val="Calibri"/>
        <family val="2"/>
      </rPr>
      <t>CCT</t>
    </r>
    <r>
      <rPr>
        <sz val="11"/>
        <color theme="1"/>
        <rFont val="Calibri"/>
        <family val="2"/>
      </rPr>
      <t xml:space="preserve"> target, use Section 3 of the Simulator and </t>
    </r>
  </si>
  <si>
    <t>enter required CCT in Kelvin:</t>
  </si>
  <si>
    <t>·         The Simulator will show product options for Dim to Warm products</t>
  </si>
  <si>
    <r>
      <rPr>
        <b/>
        <sz val="11"/>
        <color theme="1"/>
        <rFont val="Calibri"/>
        <family val="2"/>
      </rPr>
      <t>AB</t>
    </r>
    <r>
      <rPr>
        <sz val="11"/>
        <color theme="1"/>
        <rFont val="Calibri"/>
        <family val="2"/>
      </rPr>
      <t xml:space="preserve"> – Designates the nominal type and shape of the product DR = Dim to Warm White Round</t>
    </r>
  </si>
  <si>
    <r>
      <rPr>
        <b/>
        <sz val="11"/>
        <color theme="1"/>
        <rFont val="Calibri"/>
        <family val="2"/>
      </rPr>
      <t>CDEF</t>
    </r>
    <r>
      <rPr>
        <sz val="11"/>
        <color theme="1"/>
        <rFont val="Calibri"/>
        <family val="2"/>
      </rPr>
      <t xml:space="preserve"> – Designates nominal CCT tuning range, 1830 = 1800K - 3000K</t>
    </r>
  </si>
  <si>
    <t>13 = 1st Gen, 3 SDCM</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</si>
</sst>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_(&quot;$&quot;* #,##0.00_);_(&quot;$&quot;* \(#,##0.00\);_(&quot;$&quot;* &quot;-&quot;??_);_(@_)"/>
    <numFmt numFmtId="177" formatCode="_(* #,##0.00_);_(* \(#,##0.00\);_(* &quot;-&quot;??_);_(@_)"/>
    <numFmt numFmtId="178" formatCode="0.0"/>
    <numFmt numFmtId="179" formatCode="0.000"/>
    <numFmt numFmtId="180" formatCode="0.000E+00"/>
    <numFmt numFmtId="181" formatCode="0.0000E+00"/>
    <numFmt numFmtId="182" formatCode="0.00000E+00"/>
    <numFmt numFmtId="183" formatCode="0.0000"/>
    <numFmt numFmtId="184" formatCode="0.00000"/>
    <numFmt numFmtId="185" formatCode="0.000000"/>
  </numFmts>
  <fonts count="62" x14ac:knownFonts="1">
    <font>
      <sz val="11"/>
      <color theme="1"/>
      <name val="新細明體"/>
      <family val="2"/>
      <scheme val="minor"/>
    </font>
    <font>
      <sz val="11"/>
      <color theme="1"/>
      <name val="新細明體"/>
      <family val="2"/>
      <scheme val="minor"/>
    </font>
    <font>
      <b/>
      <sz val="11"/>
      <color theme="1"/>
      <name val="新細明體"/>
      <family val="2"/>
      <scheme val="minor"/>
    </font>
    <font>
      <sz val="11"/>
      <name val="新細明體"/>
      <family val="2"/>
      <scheme val="minor"/>
    </font>
    <font>
      <sz val="11"/>
      <color indexed="8"/>
      <name val="Calibri"/>
      <family val="2"/>
    </font>
    <font>
      <sz val="11"/>
      <color indexed="9"/>
      <name val="Calibri"/>
      <family val="2"/>
    </font>
    <font>
      <sz val="11"/>
      <color rgb="FF9C0006"/>
      <name val="新細明體"/>
      <family val="1"/>
      <charset val="136"/>
      <scheme val="minor"/>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sz val="11"/>
      <color theme="1"/>
      <name val="新細明體"/>
      <family val="1"/>
      <charset val="136"/>
      <scheme val="minor"/>
    </font>
    <font>
      <b/>
      <sz val="11"/>
      <color indexed="63"/>
      <name val="Calibri"/>
      <family val="2"/>
    </font>
    <font>
      <b/>
      <sz val="18"/>
      <color indexed="56"/>
      <name val="Cambria"/>
      <family val="1"/>
    </font>
    <font>
      <b/>
      <sz val="11"/>
      <color indexed="8"/>
      <name val="Calibri"/>
      <family val="2"/>
    </font>
    <font>
      <sz val="11"/>
      <color indexed="10"/>
      <name val="Calibri"/>
      <family val="2"/>
    </font>
    <font>
      <sz val="8"/>
      <color rgb="FFC00000"/>
      <name val="Arial"/>
      <family val="2"/>
    </font>
    <font>
      <sz val="8"/>
      <name val="Arial"/>
      <family val="2"/>
    </font>
    <font>
      <b/>
      <sz val="27"/>
      <name val="Arial"/>
      <family val="2"/>
    </font>
    <font>
      <sz val="8"/>
      <color theme="0"/>
      <name val="Arial"/>
      <family val="2"/>
    </font>
    <font>
      <sz val="11"/>
      <name val="Arial"/>
      <family val="2"/>
    </font>
    <font>
      <sz val="11"/>
      <color theme="0"/>
      <name val="Arial"/>
      <family val="2"/>
    </font>
    <font>
      <sz val="11"/>
      <color rgb="FFC00000"/>
      <name val="Arial"/>
      <family val="2"/>
    </font>
    <font>
      <b/>
      <sz val="10"/>
      <color rgb="FFC00000"/>
      <name val="Arial"/>
      <family val="2"/>
    </font>
    <font>
      <sz val="10"/>
      <color rgb="FFC00000"/>
      <name val="Arial"/>
      <family val="2"/>
    </font>
    <font>
      <sz val="12"/>
      <name val="Arial"/>
      <family val="2"/>
    </font>
    <font>
      <sz val="14"/>
      <color rgb="FFF7F7F7"/>
      <name val="Arial"/>
      <family val="2"/>
    </font>
    <font>
      <sz val="11"/>
      <color rgb="FFF7F7F7"/>
      <name val="Arial"/>
      <family val="2"/>
    </font>
    <font>
      <sz val="12"/>
      <color rgb="FFF7F7F7"/>
      <name val="Arial"/>
      <family val="2"/>
    </font>
    <font>
      <sz val="11"/>
      <color rgb="FFB3272D"/>
      <name val="Arial"/>
      <family val="2"/>
    </font>
    <font>
      <sz val="12"/>
      <color rgb="FFB3272D"/>
      <name val="Arial"/>
      <family val="2"/>
    </font>
    <font>
      <b/>
      <sz val="14"/>
      <color theme="0"/>
      <name val="Arial"/>
      <family val="2"/>
    </font>
    <font>
      <sz val="14"/>
      <color theme="0"/>
      <name val="Arial"/>
      <family val="2"/>
    </font>
    <font>
      <b/>
      <sz val="20"/>
      <color theme="1"/>
      <name val="Arial"/>
      <family val="2"/>
    </font>
    <font>
      <sz val="18"/>
      <color theme="1"/>
      <name val="Arial"/>
      <family val="2"/>
    </font>
    <font>
      <sz val="10"/>
      <name val="Calibri"/>
      <family val="2"/>
    </font>
    <font>
      <sz val="12"/>
      <color rgb="FFFF0000"/>
      <name val="Arial"/>
      <family val="2"/>
    </font>
    <font>
      <sz val="11"/>
      <color rgb="FFFF0000"/>
      <name val="Arial"/>
      <family val="2"/>
    </font>
    <font>
      <u/>
      <sz val="11"/>
      <color theme="10"/>
      <name val="Arial"/>
      <family val="2"/>
    </font>
    <font>
      <b/>
      <sz val="11"/>
      <color theme="0"/>
      <name val="新細明體"/>
      <family val="2"/>
      <scheme val="minor"/>
    </font>
    <font>
      <sz val="12"/>
      <color theme="1"/>
      <name val="新細明體"/>
      <family val="1"/>
      <charset val="136"/>
      <scheme val="minor"/>
    </font>
    <font>
      <sz val="11"/>
      <color theme="1"/>
      <name val="新細明體"/>
      <family val="2"/>
      <scheme val="minor"/>
    </font>
    <font>
      <sz val="11"/>
      <color theme="1"/>
      <name val="Arial"/>
      <family val="2"/>
    </font>
    <font>
      <b/>
      <sz val="11"/>
      <color theme="1"/>
      <name val="Calibri"/>
      <family val="2"/>
    </font>
    <font>
      <sz val="11"/>
      <color theme="1"/>
      <name val="Calibri"/>
      <family val="2"/>
    </font>
    <font>
      <sz val="7"/>
      <color theme="1"/>
      <name val="Times New Roman"/>
      <family val="1"/>
    </font>
    <font>
      <sz val="11"/>
      <color theme="1"/>
      <name val="Symbol"/>
      <family val="1"/>
      <charset val="2"/>
    </font>
    <font>
      <vertAlign val="subscript"/>
      <sz val="11"/>
      <color theme="1"/>
      <name val="Calibri"/>
      <family val="2"/>
    </font>
    <font>
      <sz val="11"/>
      <color indexed="8"/>
      <name val="Arial"/>
      <family val="2"/>
    </font>
    <font>
      <u/>
      <sz val="10"/>
      <color theme="10"/>
      <name val="Arial"/>
      <family val="2"/>
    </font>
    <font>
      <u/>
      <sz val="11"/>
      <color theme="10"/>
      <name val="新細明體"/>
      <family val="2"/>
      <scheme val="minor"/>
    </font>
    <font>
      <sz val="10"/>
      <name val="Helv"/>
      <family val="2"/>
    </font>
    <font>
      <b/>
      <sz val="11"/>
      <color theme="0"/>
      <name val="新細明體"/>
      <family val="2"/>
      <scheme val="minor"/>
    </font>
    <font>
      <sz val="9"/>
      <name val="新細明體"/>
      <family val="3"/>
      <charset val="136"/>
      <scheme val="minor"/>
    </font>
  </fonts>
  <fills count="45">
    <fill>
      <patternFill patternType="none"/>
    </fill>
    <fill>
      <patternFill patternType="gray125"/>
    </fill>
    <fill>
      <patternFill patternType="solid">
        <fgColor rgb="FFFFC7CE"/>
      </patternFill>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B3272D"/>
        <bgColor indexed="64"/>
      </patternFill>
    </fill>
    <fill>
      <patternFill patternType="solid">
        <fgColor theme="0" tint="-4.9989318521683403E-2"/>
        <bgColor indexed="64"/>
      </patternFill>
    </fill>
    <fill>
      <patternFill patternType="solid">
        <fgColor theme="0"/>
        <bgColor indexed="64"/>
      </patternFill>
    </fill>
    <fill>
      <patternFill patternType="solid">
        <fgColor rgb="FFC9C8C7"/>
        <bgColor indexed="64"/>
      </patternFill>
    </fill>
    <fill>
      <patternFill patternType="solid">
        <fgColor theme="0" tint="-0.249977111117893"/>
        <bgColor indexed="64"/>
      </patternFill>
    </fill>
    <fill>
      <patternFill patternType="solid">
        <fgColor rgb="FF0070C0"/>
        <bgColor indexed="64"/>
      </patternFill>
    </fill>
    <fill>
      <patternFill patternType="solid">
        <fgColor theme="4" tint="0.79998168889431442"/>
        <bgColor theme="4" tint="0.79998168889431442"/>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47">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theme="8" tint="-0.499984740745262"/>
      </right>
      <top style="thin">
        <color indexed="64"/>
      </top>
      <bottom/>
      <diagonal/>
    </border>
    <border>
      <left style="thin">
        <color theme="8" tint="-0.499984740745262"/>
      </left>
      <right/>
      <top style="thin">
        <color indexed="64"/>
      </top>
      <bottom/>
      <diagonal/>
    </border>
    <border>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theme="4" tint="0.39997558519241921"/>
      </top>
      <bottom style="thin">
        <color theme="4" tint="0.3999755851924192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FFFFFF"/>
      </left>
      <right style="thin">
        <color rgb="FFFFFFFF"/>
      </right>
      <top style="thin">
        <color indexed="64"/>
      </top>
      <bottom/>
      <diagonal/>
    </border>
    <border>
      <left style="thin">
        <color auto="1"/>
      </left>
      <right style="thin">
        <color rgb="FFFFFFFF"/>
      </right>
      <top style="thin">
        <color auto="1"/>
      </top>
      <bottom/>
      <diagonal/>
    </border>
    <border>
      <left style="thin">
        <color rgb="FFFFFFFF"/>
      </left>
      <right style="thin">
        <color rgb="FFFFFFFF"/>
      </right>
      <top style="thin">
        <color auto="1"/>
      </top>
      <bottom/>
      <diagonal/>
    </border>
    <border>
      <left style="thin">
        <color rgb="FFFFFFFF"/>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theme="0"/>
      </top>
      <bottom style="thin">
        <color theme="0"/>
      </bottom>
      <diagonal/>
    </border>
    <border>
      <left/>
      <right style="thin">
        <color indexed="64"/>
      </right>
      <top style="thin">
        <color theme="0"/>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42">
    <xf numFmtId="0" fontId="0" fillId="0" borderId="0"/>
    <xf numFmtId="177" fontId="1" fillId="0" borderId="0" applyFont="0" applyFill="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21" borderId="0" applyNumberFormat="0" applyBorder="0" applyAlignment="0" applyProtection="0"/>
    <xf numFmtId="0" fontId="6" fillId="2" borderId="0" applyNumberFormat="0" applyBorder="0" applyAlignment="0" applyProtection="0"/>
    <xf numFmtId="0" fontId="7" fillId="5" borderId="0" applyNumberFormat="0" applyBorder="0" applyAlignment="0" applyProtection="0"/>
    <xf numFmtId="0" fontId="8" fillId="22" borderId="3" applyNumberFormat="0" applyAlignment="0" applyProtection="0"/>
    <xf numFmtId="0" fontId="9" fillId="23" borderId="4" applyNumberFormat="0" applyAlignment="0" applyProtection="0"/>
    <xf numFmtId="0" fontId="10" fillId="0" borderId="0" applyNumberFormat="0" applyFill="0" applyBorder="0" applyAlignment="0" applyProtection="0"/>
    <xf numFmtId="0" fontId="11" fillId="6" borderId="0" applyNumberFormat="0" applyBorder="0" applyAlignment="0" applyProtection="0"/>
    <xf numFmtId="0" fontId="12" fillId="0" borderId="5" applyNumberFormat="0" applyFill="0" applyAlignment="0" applyProtection="0"/>
    <xf numFmtId="0" fontId="13" fillId="0" borderId="6" applyNumberFormat="0" applyFill="0" applyAlignment="0" applyProtection="0"/>
    <xf numFmtId="0" fontId="14" fillId="0" borderId="7" applyNumberFormat="0" applyFill="0" applyAlignment="0" applyProtection="0"/>
    <xf numFmtId="0" fontId="14" fillId="0" borderId="0" applyNumberFormat="0" applyFill="0" applyBorder="0" applyAlignment="0" applyProtection="0"/>
    <xf numFmtId="0" fontId="15" fillId="9" borderId="3" applyNumberFormat="0" applyAlignment="0" applyProtection="0"/>
    <xf numFmtId="0" fontId="16" fillId="0" borderId="8" applyNumberFormat="0" applyFill="0" applyAlignment="0" applyProtection="0"/>
    <xf numFmtId="0" fontId="17" fillId="24" borderId="0" applyNumberFormat="0" applyBorder="0" applyAlignment="0" applyProtection="0"/>
    <xf numFmtId="0" fontId="1" fillId="0" borderId="0"/>
    <xf numFmtId="0" fontId="18" fillId="0" borderId="0"/>
    <xf numFmtId="0" fontId="18" fillId="0" borderId="0"/>
    <xf numFmtId="0" fontId="18" fillId="0" borderId="0"/>
    <xf numFmtId="0" fontId="19" fillId="0" borderId="0"/>
    <xf numFmtId="0" fontId="4" fillId="3" borderId="1" applyNumberFormat="0" applyFont="0" applyAlignment="0" applyProtection="0"/>
    <xf numFmtId="0" fontId="18" fillId="25" borderId="9" applyNumberFormat="0" applyFont="0" applyAlignment="0" applyProtection="0"/>
    <xf numFmtId="0" fontId="20" fillId="22" borderId="10" applyNumberFormat="0" applyAlignment="0" applyProtection="0"/>
    <xf numFmtId="9" fontId="18" fillId="0" borderId="0" applyFont="0" applyFill="0" applyBorder="0" applyAlignment="0" applyProtection="0"/>
    <xf numFmtId="0" fontId="21" fillId="0" borderId="0" applyNumberFormat="0" applyFill="0" applyBorder="0" applyAlignment="0" applyProtection="0"/>
    <xf numFmtId="0" fontId="22" fillId="0" borderId="11" applyNumberFormat="0" applyFill="0" applyAlignment="0" applyProtection="0"/>
    <xf numFmtId="0" fontId="23" fillId="0" borderId="0" applyNumberFormat="0" applyFill="0" applyBorder="0" applyAlignment="0" applyProtection="0"/>
    <xf numFmtId="0" fontId="18" fillId="0" borderId="0"/>
    <xf numFmtId="0" fontId="19" fillId="0" borderId="0"/>
    <xf numFmtId="0" fontId="19" fillId="0" borderId="0"/>
    <xf numFmtId="9" fontId="19" fillId="0" borderId="0" applyFont="0" applyFill="0" applyBorder="0" applyAlignment="0" applyProtection="0"/>
    <xf numFmtId="0" fontId="46" fillId="0" borderId="0" applyNumberFormat="0" applyFill="0" applyBorder="0" applyAlignment="0" applyProtection="0"/>
    <xf numFmtId="0" fontId="48" fillId="0" borderId="0">
      <alignment vertical="center"/>
    </xf>
    <xf numFmtId="0" fontId="50" fillId="0" borderId="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43"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38"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0" fontId="1" fillId="44" borderId="0" applyNumberFormat="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7" fontId="1" fillId="0" borderId="0" applyFont="0" applyFill="0" applyBorder="0" applyAlignment="0" applyProtection="0"/>
    <xf numFmtId="176" fontId="18" fillId="0" borderId="0" applyFont="0" applyFill="0" applyBorder="0" applyAlignment="0" applyProtection="0"/>
    <xf numFmtId="176" fontId="18" fillId="0" borderId="0" applyFont="0" applyFill="0" applyBorder="0" applyAlignment="0" applyProtection="0"/>
    <xf numFmtId="176" fontId="4" fillId="0" borderId="0" applyFon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 fillId="0" borderId="0"/>
    <xf numFmtId="0" fontId="4"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8" fillId="0" borderId="0"/>
    <xf numFmtId="0" fontId="18" fillId="0" borderId="0"/>
    <xf numFmtId="0" fontId="1" fillId="0" borderId="0"/>
    <xf numFmtId="0" fontId="18" fillId="0" borderId="0"/>
    <xf numFmtId="0" fontId="1" fillId="0" borderId="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8" fillId="25" borderId="9" applyNumberFormat="0" applyFont="0" applyAlignment="0" applyProtection="0"/>
    <xf numFmtId="0" fontId="18" fillId="25" borderId="9"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0" fontId="1" fillId="3" borderId="1"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xf numFmtId="0" fontId="59" fillId="0" borderId="0"/>
    <xf numFmtId="0" fontId="19" fillId="0" borderId="0"/>
    <xf numFmtId="9" fontId="19" fillId="0" borderId="0" applyFont="0" applyFill="0" applyBorder="0" applyAlignment="0" applyProtection="0"/>
  </cellStyleXfs>
  <cellXfs count="311">
    <xf numFmtId="0" fontId="0" fillId="0" borderId="0" xfId="0"/>
    <xf numFmtId="0" fontId="2" fillId="0" borderId="0" xfId="0" applyFont="1" applyBorder="1"/>
    <xf numFmtId="0" fontId="0" fillId="0" borderId="0" xfId="0" applyAlignment="1">
      <alignment horizontal="right"/>
    </xf>
    <xf numFmtId="0" fontId="0" fillId="0" borderId="0" xfId="0" applyBorder="1"/>
    <xf numFmtId="11" fontId="0" fillId="0" borderId="0" xfId="0" applyNumberFormat="1" applyBorder="1" applyAlignment="1">
      <alignment horizontal="center"/>
    </xf>
    <xf numFmtId="0" fontId="24" fillId="0" borderId="0" xfId="0" applyFont="1" applyAlignment="1" applyProtection="1">
      <alignment horizontal="left"/>
    </xf>
    <xf numFmtId="0" fontId="25" fillId="0" borderId="0" xfId="0" applyFont="1" applyAlignment="1" applyProtection="1"/>
    <xf numFmtId="0" fontId="26" fillId="0" borderId="0" xfId="0" applyFont="1" applyAlignment="1" applyProtection="1">
      <alignment horizontal="center"/>
    </xf>
    <xf numFmtId="0" fontId="27" fillId="0" borderId="0" xfId="0" applyFont="1" applyAlignment="1" applyProtection="1"/>
    <xf numFmtId="0" fontId="0" fillId="0" borderId="0" xfId="0" applyProtection="1"/>
    <xf numFmtId="0" fontId="28" fillId="0" borderId="0" xfId="0" applyFont="1" applyAlignment="1" applyProtection="1"/>
    <xf numFmtId="0" fontId="29" fillId="0" borderId="0" xfId="0" applyFont="1" applyAlignment="1" applyProtection="1"/>
    <xf numFmtId="0" fontId="30" fillId="0" borderId="0" xfId="0" applyFont="1" applyAlignment="1" applyProtection="1">
      <alignment horizontal="left"/>
    </xf>
    <xf numFmtId="0" fontId="31" fillId="0" borderId="0" xfId="0" applyFont="1" applyAlignment="1" applyProtection="1"/>
    <xf numFmtId="0" fontId="31" fillId="0" borderId="0" xfId="0" applyFont="1" applyAlignment="1" applyProtection="1">
      <alignment horizontal="right" vertical="center"/>
    </xf>
    <xf numFmtId="0" fontId="32" fillId="0" borderId="0" xfId="39" applyFont="1" applyAlignment="1" applyProtection="1">
      <alignment horizontal="left"/>
    </xf>
    <xf numFmtId="0" fontId="18" fillId="0" borderId="0" xfId="39" applyFont="1" applyAlignment="1" applyProtection="1"/>
    <xf numFmtId="0" fontId="26" fillId="0" borderId="12" xfId="0" applyFont="1" applyBorder="1" applyAlignment="1" applyProtection="1">
      <alignment horizontal="center"/>
    </xf>
    <xf numFmtId="15" fontId="31" fillId="0" borderId="12" xfId="39" applyNumberFormat="1" applyFont="1" applyBorder="1" applyAlignment="1" applyProtection="1">
      <alignment wrapText="1"/>
    </xf>
    <xf numFmtId="15" fontId="31" fillId="0" borderId="12" xfId="39" applyNumberFormat="1" applyFont="1" applyBorder="1" applyAlignment="1" applyProtection="1">
      <alignment horizontal="right" vertical="center" wrapText="1"/>
    </xf>
    <xf numFmtId="0" fontId="30" fillId="0" borderId="0" xfId="39" applyFont="1" applyAlignment="1" applyProtection="1">
      <alignment horizontal="left"/>
    </xf>
    <xf numFmtId="0" fontId="33" fillId="26" borderId="13" xfId="39" applyFont="1" applyFill="1" applyBorder="1" applyAlignment="1" applyProtection="1">
      <alignment horizontal="left"/>
    </xf>
    <xf numFmtId="0" fontId="34" fillId="26" borderId="14" xfId="39" applyFont="1" applyFill="1" applyBorder="1" applyAlignment="1" applyProtection="1">
      <alignment horizontal="left"/>
    </xf>
    <xf numFmtId="0" fontId="35" fillId="26" borderId="14" xfId="39" applyFont="1" applyFill="1" applyBorder="1" applyAlignment="1" applyProtection="1">
      <alignment horizontal="left"/>
    </xf>
    <xf numFmtId="0" fontId="28" fillId="26" borderId="14" xfId="39" applyFont="1" applyFill="1" applyBorder="1" applyAlignment="1" applyProtection="1">
      <alignment horizontal="left"/>
    </xf>
    <xf numFmtId="0" fontId="35" fillId="26" borderId="14" xfId="39" applyFont="1" applyFill="1" applyBorder="1" applyAlignment="1" applyProtection="1">
      <alignment horizontal="right"/>
    </xf>
    <xf numFmtId="0" fontId="33" fillId="26" borderId="15" xfId="39" applyFont="1" applyFill="1" applyBorder="1" applyAlignment="1" applyProtection="1">
      <alignment horizontal="left"/>
    </xf>
    <xf numFmtId="0" fontId="36" fillId="26" borderId="0" xfId="39" applyFont="1" applyFill="1" applyBorder="1" applyAlignment="1" applyProtection="1">
      <alignment horizontal="center"/>
    </xf>
    <xf numFmtId="0" fontId="35" fillId="26" borderId="0" xfId="39" applyFont="1" applyFill="1" applyBorder="1" applyAlignment="1" applyProtection="1">
      <alignment horizontal="left"/>
    </xf>
    <xf numFmtId="0" fontId="28" fillId="26" borderId="0" xfId="39" applyFont="1" applyFill="1" applyBorder="1" applyAlignment="1" applyProtection="1">
      <alignment horizontal="left"/>
    </xf>
    <xf numFmtId="0" fontId="28" fillId="26" borderId="16" xfId="39" applyFont="1" applyFill="1" applyBorder="1" applyAlignment="1" applyProtection="1">
      <alignment horizontal="left"/>
    </xf>
    <xf numFmtId="0" fontId="36" fillId="26" borderId="0" xfId="39" applyFont="1" applyFill="1" applyBorder="1" applyAlignment="1" applyProtection="1">
      <alignment horizontal="left"/>
    </xf>
    <xf numFmtId="0" fontId="35" fillId="26" borderId="0" xfId="39" applyFont="1" applyFill="1" applyBorder="1" applyAlignment="1" applyProtection="1">
      <alignment horizontal="right"/>
    </xf>
    <xf numFmtId="0" fontId="38" fillId="26" borderId="0" xfId="39" applyFont="1" applyFill="1" applyBorder="1" applyAlignment="1" applyProtection="1">
      <alignment horizontal="right"/>
    </xf>
    <xf numFmtId="0" fontId="0" fillId="28" borderId="0" xfId="0" applyFill="1" applyProtection="1"/>
    <xf numFmtId="0" fontId="37" fillId="26" borderId="0" xfId="39" applyFont="1" applyFill="1" applyBorder="1" applyAlignment="1" applyProtection="1">
      <alignment horizontal="left"/>
    </xf>
    <xf numFmtId="0" fontId="33" fillId="26" borderId="0" xfId="39" applyFont="1" applyFill="1" applyBorder="1" applyAlignment="1" applyProtection="1">
      <alignment horizontal="left"/>
    </xf>
    <xf numFmtId="0" fontId="33" fillId="26" borderId="17" xfId="39" applyFont="1" applyFill="1" applyBorder="1" applyAlignment="1" applyProtection="1">
      <alignment horizontal="left"/>
    </xf>
    <xf numFmtId="0" fontId="36" fillId="26" borderId="12" xfId="39" applyFont="1" applyFill="1" applyBorder="1" applyAlignment="1" applyProtection="1">
      <alignment horizontal="center"/>
    </xf>
    <xf numFmtId="0" fontId="35" fillId="26" borderId="12" xfId="39" applyFont="1" applyFill="1" applyBorder="1" applyAlignment="1" applyProtection="1">
      <alignment horizontal="left"/>
    </xf>
    <xf numFmtId="0" fontId="28" fillId="26" borderId="12" xfId="39" applyFont="1" applyFill="1" applyBorder="1" applyAlignment="1" applyProtection="1">
      <alignment horizontal="left"/>
    </xf>
    <xf numFmtId="0" fontId="28" fillId="26" borderId="18" xfId="39" applyFont="1" applyFill="1" applyBorder="1" applyAlignment="1" applyProtection="1">
      <alignment horizontal="left"/>
    </xf>
    <xf numFmtId="0" fontId="29" fillId="28" borderId="0" xfId="0" applyFont="1" applyFill="1" applyProtection="1"/>
    <xf numFmtId="0" fontId="32" fillId="28" borderId="0" xfId="39" applyFont="1" applyFill="1" applyAlignment="1" applyProtection="1">
      <alignment horizontal="left"/>
    </xf>
    <xf numFmtId="0" fontId="18" fillId="28" borderId="0" xfId="39" applyFont="1" applyFill="1" applyAlignment="1" applyProtection="1">
      <alignment horizontal="center"/>
    </xf>
    <xf numFmtId="0" fontId="18" fillId="28" borderId="0" xfId="39" applyFont="1" applyFill="1" applyBorder="1" applyAlignment="1" applyProtection="1">
      <alignment horizontal="center"/>
    </xf>
    <xf numFmtId="0" fontId="18" fillId="28" borderId="0" xfId="39" applyFont="1" applyFill="1" applyBorder="1" applyAlignment="1" applyProtection="1">
      <alignment horizontal="left"/>
    </xf>
    <xf numFmtId="0" fontId="34" fillId="26" borderId="19" xfId="39" applyFont="1" applyFill="1" applyBorder="1" applyAlignment="1" applyProtection="1">
      <alignment horizontal="left"/>
    </xf>
    <xf numFmtId="0" fontId="35" fillId="26" borderId="20" xfId="39" applyFont="1" applyFill="1" applyBorder="1" applyAlignment="1" applyProtection="1">
      <alignment horizontal="left"/>
    </xf>
    <xf numFmtId="0" fontId="28" fillId="26" borderId="21" xfId="39" applyFont="1" applyFill="1" applyBorder="1" applyAlignment="1" applyProtection="1">
      <alignment horizontal="left"/>
    </xf>
    <xf numFmtId="3" fontId="28" fillId="27" borderId="2" xfId="39" applyNumberFormat="1" applyFont="1" applyFill="1" applyBorder="1" applyAlignment="1" applyProtection="1">
      <alignment horizontal="center"/>
      <protection locked="0"/>
    </xf>
    <xf numFmtId="0" fontId="39" fillId="28" borderId="0" xfId="0" applyFont="1" applyFill="1" applyProtection="1"/>
    <xf numFmtId="0" fontId="40" fillId="26" borderId="0" xfId="39" applyFont="1" applyFill="1" applyBorder="1" applyAlignment="1" applyProtection="1">
      <alignment horizontal="left"/>
    </xf>
    <xf numFmtId="0" fontId="28" fillId="26" borderId="0" xfId="39" applyFont="1" applyFill="1" applyBorder="1" applyAlignment="1" applyProtection="1">
      <alignment horizontal="center"/>
    </xf>
    <xf numFmtId="0" fontId="29" fillId="28" borderId="0" xfId="0" applyFont="1" applyFill="1" applyBorder="1" applyProtection="1"/>
    <xf numFmtId="0" fontId="29" fillId="28" borderId="15" xfId="0" applyFont="1" applyFill="1" applyBorder="1" applyProtection="1"/>
    <xf numFmtId="0" fontId="28" fillId="26" borderId="16" xfId="39" applyFont="1" applyFill="1" applyBorder="1" applyAlignment="1" applyProtection="1">
      <alignment horizontal="right"/>
    </xf>
    <xf numFmtId="0" fontId="0" fillId="0" borderId="0" xfId="0" applyBorder="1" applyProtection="1"/>
    <xf numFmtId="1" fontId="18" fillId="26" borderId="0" xfId="39" applyNumberFormat="1" applyFont="1" applyFill="1" applyBorder="1" applyAlignment="1" applyProtection="1">
      <alignment horizontal="center"/>
      <protection hidden="1"/>
    </xf>
    <xf numFmtId="0" fontId="38" fillId="26" borderId="15" xfId="39" applyFont="1" applyFill="1" applyBorder="1" applyAlignment="1" applyProtection="1">
      <alignment horizontal="left"/>
    </xf>
    <xf numFmtId="0" fontId="37" fillId="26" borderId="16" xfId="39" applyFont="1" applyFill="1" applyBorder="1" applyAlignment="1" applyProtection="1">
      <alignment horizontal="right"/>
    </xf>
    <xf numFmtId="0" fontId="37" fillId="0" borderId="0" xfId="0" applyFont="1" applyBorder="1" applyProtection="1"/>
    <xf numFmtId="0" fontId="37" fillId="0" borderId="0" xfId="0" applyFont="1" applyProtection="1"/>
    <xf numFmtId="0" fontId="37" fillId="0" borderId="0" xfId="0" applyFont="1" applyAlignment="1" applyProtection="1"/>
    <xf numFmtId="0" fontId="44" fillId="26" borderId="15" xfId="39" applyFont="1" applyFill="1" applyBorder="1" applyAlignment="1" applyProtection="1">
      <alignment horizontal="left"/>
    </xf>
    <xf numFmtId="0" fontId="45" fillId="26" borderId="16" xfId="39" applyFont="1" applyFill="1" applyBorder="1" applyAlignment="1" applyProtection="1">
      <alignment horizontal="right"/>
    </xf>
    <xf numFmtId="0" fontId="45" fillId="0" borderId="0" xfId="0" applyFont="1" applyBorder="1" applyProtection="1"/>
    <xf numFmtId="0" fontId="45" fillId="0" borderId="0" xfId="0" applyFont="1" applyProtection="1"/>
    <xf numFmtId="0" fontId="45" fillId="0" borderId="0" xfId="0" applyFont="1" applyAlignment="1" applyProtection="1"/>
    <xf numFmtId="0" fontId="18" fillId="26" borderId="0" xfId="39" applyFont="1" applyFill="1" applyBorder="1" applyAlignment="1" applyProtection="1">
      <alignment horizontal="center"/>
    </xf>
    <xf numFmtId="1" fontId="18" fillId="26" borderId="0" xfId="39" applyNumberFormat="1" applyFont="1" applyFill="1" applyBorder="1" applyAlignment="1" applyProtection="1">
      <alignment horizontal="center"/>
    </xf>
    <xf numFmtId="178" fontId="18" fillId="26" borderId="0" xfId="39" applyNumberFormat="1" applyFont="1" applyFill="1" applyBorder="1" applyAlignment="1" applyProtection="1">
      <alignment horizontal="center"/>
    </xf>
    <xf numFmtId="0" fontId="2" fillId="0" borderId="0" xfId="0" applyFont="1" applyBorder="1" applyAlignment="1">
      <alignment horizontal="center"/>
    </xf>
    <xf numFmtId="1" fontId="0" fillId="0" borderId="0" xfId="0" applyNumberFormat="1" applyBorder="1" applyAlignment="1">
      <alignment horizontal="center"/>
    </xf>
    <xf numFmtId="0" fontId="0" fillId="0" borderId="0" xfId="0" applyBorder="1" applyAlignment="1">
      <alignment horizontal="center"/>
    </xf>
    <xf numFmtId="0" fontId="0" fillId="0" borderId="23" xfId="0" applyBorder="1"/>
    <xf numFmtId="0" fontId="0" fillId="0" borderId="30" xfId="0" applyBorder="1"/>
    <xf numFmtId="0" fontId="0" fillId="0" borderId="22" xfId="0" applyBorder="1" applyAlignment="1">
      <alignment horizontal="center"/>
    </xf>
    <xf numFmtId="0" fontId="0" fillId="0" borderId="23" xfId="0" applyBorder="1" applyAlignment="1">
      <alignment horizontal="center"/>
    </xf>
    <xf numFmtId="0" fontId="0" fillId="0" borderId="28" xfId="0" applyBorder="1" applyAlignment="1">
      <alignment horizontal="center"/>
    </xf>
    <xf numFmtId="0" fontId="0" fillId="0" borderId="30" xfId="0" applyBorder="1" applyAlignment="1">
      <alignment horizontal="center"/>
    </xf>
    <xf numFmtId="180" fontId="3" fillId="0" borderId="0" xfId="0" applyNumberFormat="1" applyFont="1" applyFill="1" applyBorder="1" applyAlignment="1" applyProtection="1">
      <alignment horizontal="center"/>
      <protection locked="0"/>
    </xf>
    <xf numFmtId="0" fontId="3" fillId="0" borderId="0" xfId="0" applyFont="1" applyFill="1" applyBorder="1" applyAlignment="1" applyProtection="1">
      <alignment horizontal="center"/>
      <protection locked="0"/>
    </xf>
    <xf numFmtId="11" fontId="0" fillId="0" borderId="0" xfId="0" applyNumberFormat="1" applyFont="1" applyBorder="1" applyAlignment="1" applyProtection="1">
      <alignment horizontal="center"/>
      <protection locked="0"/>
    </xf>
    <xf numFmtId="0" fontId="3" fillId="0" borderId="0" xfId="0" applyNumberFormat="1" applyFont="1" applyFill="1" applyBorder="1" applyAlignment="1" applyProtection="1">
      <alignment horizontal="center"/>
      <protection locked="0"/>
    </xf>
    <xf numFmtId="0" fontId="0" fillId="0" borderId="22" xfId="0" applyFont="1" applyBorder="1" applyAlignment="1">
      <alignment horizontal="center"/>
    </xf>
    <xf numFmtId="0" fontId="0" fillId="0" borderId="0" xfId="0" applyFont="1" applyBorder="1" applyAlignment="1">
      <alignment horizontal="center"/>
    </xf>
    <xf numFmtId="0" fontId="0" fillId="0" borderId="23" xfId="0" applyFont="1" applyBorder="1" applyAlignment="1">
      <alignment horizontal="center"/>
    </xf>
    <xf numFmtId="0" fontId="0" fillId="0" borderId="28" xfId="0" applyFont="1" applyBorder="1" applyAlignment="1">
      <alignment horizontal="center"/>
    </xf>
    <xf numFmtId="0" fontId="0" fillId="0" borderId="29" xfId="0" applyFont="1" applyBorder="1" applyAlignment="1">
      <alignment horizontal="center"/>
    </xf>
    <xf numFmtId="0" fontId="0" fillId="0" borderId="30" xfId="0" applyFont="1" applyBorder="1" applyAlignment="1">
      <alignment horizontal="center"/>
    </xf>
    <xf numFmtId="0" fontId="0" fillId="0" borderId="27" xfId="0" applyFont="1" applyBorder="1" applyAlignment="1">
      <alignment horizontal="center"/>
    </xf>
    <xf numFmtId="0" fontId="0" fillId="32" borderId="27" xfId="0" applyFont="1" applyFill="1" applyBorder="1" applyAlignment="1">
      <alignment horizontal="center"/>
    </xf>
    <xf numFmtId="0" fontId="3" fillId="32" borderId="27" xfId="0" applyFont="1" applyFill="1" applyBorder="1" applyAlignment="1">
      <alignment horizontal="center"/>
    </xf>
    <xf numFmtId="1" fontId="0" fillId="0" borderId="0" xfId="0" applyNumberFormat="1" applyFont="1" applyBorder="1" applyAlignment="1">
      <alignment horizontal="center"/>
    </xf>
    <xf numFmtId="0" fontId="0" fillId="0" borderId="22" xfId="0" applyFont="1" applyBorder="1" applyAlignment="1" applyProtection="1">
      <alignment horizontal="center"/>
      <protection locked="0"/>
    </xf>
    <xf numFmtId="0" fontId="0" fillId="0" borderId="0" xfId="0" applyFont="1" applyBorder="1" applyAlignment="1" applyProtection="1">
      <alignment horizontal="center"/>
      <protection locked="0"/>
    </xf>
    <xf numFmtId="0" fontId="0" fillId="0" borderId="26" xfId="0" applyBorder="1"/>
    <xf numFmtId="0" fontId="47" fillId="31" borderId="28" xfId="0" applyFont="1" applyFill="1" applyBorder="1" applyAlignment="1">
      <alignment horizontal="center"/>
    </xf>
    <xf numFmtId="0" fontId="3" fillId="0" borderId="0" xfId="0" quotePrefix="1" applyNumberFormat="1" applyFont="1" applyFill="1" applyBorder="1" applyAlignment="1" applyProtection="1">
      <alignment horizontal="center"/>
      <protection locked="0"/>
    </xf>
    <xf numFmtId="3" fontId="0" fillId="0" borderId="0" xfId="0" applyNumberFormat="1"/>
    <xf numFmtId="0" fontId="0" fillId="0" borderId="24" xfId="0" applyBorder="1" applyAlignment="1">
      <alignment horizontal="center"/>
    </xf>
    <xf numFmtId="1" fontId="0" fillId="0" borderId="23" xfId="0" applyNumberFormat="1" applyBorder="1" applyAlignment="1">
      <alignment horizontal="center"/>
    </xf>
    <xf numFmtId="0" fontId="2" fillId="0" borderId="24" xfId="0" applyFont="1" applyBorder="1" applyAlignment="1">
      <alignment horizontal="center"/>
    </xf>
    <xf numFmtId="0" fontId="2" fillId="0" borderId="25" xfId="0" applyFont="1" applyBorder="1" applyAlignment="1">
      <alignment horizontal="center"/>
    </xf>
    <xf numFmtId="0" fontId="2" fillId="0" borderId="26" xfId="0" applyFont="1" applyBorder="1" applyAlignment="1">
      <alignment horizontal="center"/>
    </xf>
    <xf numFmtId="11" fontId="0" fillId="0" borderId="25" xfId="0" applyNumberFormat="1" applyBorder="1" applyAlignment="1">
      <alignment horizontal="center"/>
    </xf>
    <xf numFmtId="0" fontId="0" fillId="0" borderId="33" xfId="0" applyBorder="1" applyAlignment="1">
      <alignment horizontal="center"/>
    </xf>
    <xf numFmtId="0" fontId="0" fillId="0" borderId="34" xfId="0" applyBorder="1" applyAlignment="1">
      <alignment horizontal="center"/>
    </xf>
    <xf numFmtId="179" fontId="0" fillId="0" borderId="23" xfId="0" applyNumberFormat="1" applyBorder="1" applyAlignment="1">
      <alignment horizontal="center"/>
    </xf>
    <xf numFmtId="179" fontId="0" fillId="0" borderId="30" xfId="0" applyNumberFormat="1" applyBorder="1" applyAlignment="1">
      <alignment horizontal="center"/>
    </xf>
    <xf numFmtId="179" fontId="0" fillId="0" borderId="33" xfId="0" applyNumberFormat="1" applyBorder="1" applyAlignment="1">
      <alignment horizontal="center"/>
    </xf>
    <xf numFmtId="11" fontId="0" fillId="0" borderId="24" xfId="0" applyNumberFormat="1" applyBorder="1" applyAlignment="1">
      <alignment horizontal="center"/>
    </xf>
    <xf numFmtId="11" fontId="0" fillId="0" borderId="22" xfId="0" applyNumberFormat="1" applyBorder="1" applyAlignment="1">
      <alignment horizontal="center"/>
    </xf>
    <xf numFmtId="179" fontId="0" fillId="0" borderId="26" xfId="0" applyNumberFormat="1" applyBorder="1" applyAlignment="1">
      <alignment horizontal="center"/>
    </xf>
    <xf numFmtId="0" fontId="0" fillId="0" borderId="28" xfId="0" applyFont="1" applyBorder="1" applyAlignment="1" applyProtection="1">
      <alignment horizontal="center"/>
      <protection locked="0"/>
    </xf>
    <xf numFmtId="0" fontId="0" fillId="0" borderId="0" xfId="0" applyBorder="1" applyAlignment="1">
      <alignment horizontal="center"/>
    </xf>
    <xf numFmtId="0" fontId="47" fillId="31" borderId="0" xfId="0" applyFont="1" applyFill="1" applyBorder="1" applyAlignment="1" applyProtection="1">
      <alignment horizontal="left"/>
      <protection locked="0"/>
    </xf>
    <xf numFmtId="0" fontId="0" fillId="0" borderId="0" xfId="0" applyNumberFormat="1" applyFont="1" applyBorder="1" applyAlignment="1">
      <alignment horizontal="center"/>
    </xf>
    <xf numFmtId="0" fontId="0" fillId="0" borderId="29" xfId="0" applyNumberFormat="1" applyFont="1" applyBorder="1" applyAlignment="1">
      <alignment horizontal="center"/>
    </xf>
    <xf numFmtId="0" fontId="0" fillId="0" borderId="24" xfId="0" applyFont="1" applyBorder="1" applyAlignment="1" applyProtection="1">
      <alignment horizontal="center"/>
      <protection locked="0"/>
    </xf>
    <xf numFmtId="0" fontId="0" fillId="0" borderId="25" xfId="0" applyFont="1" applyBorder="1" applyAlignment="1">
      <alignment horizontal="center"/>
    </xf>
    <xf numFmtId="0" fontId="0" fillId="0" borderId="25" xfId="0" applyNumberFormat="1" applyFont="1" applyBorder="1" applyAlignment="1">
      <alignment horizontal="center"/>
    </xf>
    <xf numFmtId="0" fontId="0" fillId="0" borderId="26" xfId="0" applyFont="1" applyBorder="1" applyAlignment="1">
      <alignment horizontal="center"/>
    </xf>
    <xf numFmtId="0" fontId="3" fillId="0" borderId="25" xfId="0" applyFont="1" applyFill="1" applyBorder="1" applyAlignment="1" applyProtection="1">
      <alignment horizontal="center"/>
      <protection locked="0"/>
    </xf>
    <xf numFmtId="0" fontId="3" fillId="0" borderId="25" xfId="0" quotePrefix="1" applyNumberFormat="1" applyFont="1" applyFill="1" applyBorder="1" applyAlignment="1" applyProtection="1">
      <alignment horizontal="center"/>
      <protection locked="0"/>
    </xf>
    <xf numFmtId="0" fontId="3" fillId="0" borderId="25" xfId="43" applyFont="1" applyFill="1" applyBorder="1" applyAlignment="1" applyProtection="1">
      <alignment horizontal="center"/>
      <protection locked="0"/>
    </xf>
    <xf numFmtId="0" fontId="3" fillId="0" borderId="26" xfId="0" applyNumberFormat="1" applyFont="1" applyFill="1" applyBorder="1" applyAlignment="1" applyProtection="1">
      <alignment horizontal="center"/>
      <protection locked="0"/>
    </xf>
    <xf numFmtId="11" fontId="3" fillId="0" borderId="0" xfId="0" applyNumberFormat="1" applyFont="1" applyFill="1" applyBorder="1" applyAlignment="1" applyProtection="1">
      <alignment horizontal="center"/>
      <protection locked="0"/>
    </xf>
    <xf numFmtId="0" fontId="49" fillId="0" borderId="0" xfId="0" applyFont="1" applyBorder="1" applyAlignment="1">
      <alignment horizontal="center"/>
    </xf>
    <xf numFmtId="0" fontId="0" fillId="0" borderId="24" xfId="0" applyFont="1" applyBorder="1" applyAlignment="1">
      <alignment horizontal="center"/>
    </xf>
    <xf numFmtId="1" fontId="0" fillId="0" borderId="25" xfId="0" applyNumberFormat="1" applyFont="1" applyBorder="1" applyAlignment="1">
      <alignment horizontal="center"/>
    </xf>
    <xf numFmtId="1" fontId="0" fillId="0" borderId="29" xfId="0" applyNumberFormat="1" applyFont="1" applyBorder="1" applyAlignment="1">
      <alignment horizontal="center"/>
    </xf>
    <xf numFmtId="1" fontId="0" fillId="0" borderId="24" xfId="1" applyNumberFormat="1" applyFont="1" applyBorder="1" applyAlignment="1" applyProtection="1">
      <alignment horizontal="center" vertical="center"/>
      <protection locked="0"/>
    </xf>
    <xf numFmtId="1" fontId="3" fillId="0" borderId="25" xfId="0" applyNumberFormat="1" applyFont="1" applyFill="1" applyBorder="1" applyAlignment="1" applyProtection="1">
      <alignment horizontal="center"/>
      <protection locked="0"/>
    </xf>
    <xf numFmtId="0" fontId="3" fillId="0" borderId="25" xfId="0" applyNumberFormat="1" applyFont="1" applyFill="1" applyBorder="1" applyAlignment="1" applyProtection="1">
      <alignment horizontal="center"/>
      <protection locked="0"/>
    </xf>
    <xf numFmtId="11" fontId="3" fillId="0" borderId="25" xfId="0" applyNumberFormat="1" applyFont="1" applyFill="1" applyBorder="1" applyAlignment="1" applyProtection="1">
      <alignment horizontal="center"/>
      <protection locked="0"/>
    </xf>
    <xf numFmtId="180" fontId="3" fillId="0" borderId="25" xfId="0" applyNumberFormat="1" applyFont="1" applyFill="1" applyBorder="1" applyAlignment="1" applyProtection="1">
      <alignment horizontal="center"/>
      <protection locked="0"/>
    </xf>
    <xf numFmtId="0" fontId="3" fillId="0" borderId="26" xfId="0" applyFont="1" applyFill="1" applyBorder="1" applyAlignment="1" applyProtection="1">
      <alignment horizontal="center"/>
      <protection locked="0"/>
    </xf>
    <xf numFmtId="0" fontId="3" fillId="0" borderId="23" xfId="0" applyFont="1" applyFill="1" applyBorder="1" applyAlignment="1" applyProtection="1">
      <alignment horizontal="center"/>
      <protection locked="0"/>
    </xf>
    <xf numFmtId="180" fontId="3" fillId="0" borderId="29" xfId="0" applyNumberFormat="1" applyFont="1" applyFill="1" applyBorder="1" applyAlignment="1" applyProtection="1">
      <alignment horizontal="center"/>
      <protection locked="0"/>
    </xf>
    <xf numFmtId="0" fontId="3" fillId="0" borderId="29" xfId="0" applyFont="1" applyFill="1" applyBorder="1" applyAlignment="1" applyProtection="1">
      <alignment horizontal="center"/>
      <protection locked="0"/>
    </xf>
    <xf numFmtId="11" fontId="0" fillId="0" borderId="25" xfId="0" applyNumberFormat="1" applyFont="1" applyBorder="1" applyAlignment="1" applyProtection="1">
      <alignment horizontal="center"/>
      <protection locked="0"/>
    </xf>
    <xf numFmtId="0" fontId="3" fillId="0" borderId="23" xfId="0" applyNumberFormat="1" applyFont="1" applyFill="1" applyBorder="1" applyAlignment="1" applyProtection="1">
      <alignment horizontal="center"/>
      <protection locked="0"/>
    </xf>
    <xf numFmtId="11" fontId="0" fillId="0" borderId="29" xfId="0" applyNumberFormat="1" applyFont="1" applyBorder="1" applyAlignment="1" applyProtection="1">
      <alignment horizontal="center"/>
      <protection locked="0"/>
    </xf>
    <xf numFmtId="0" fontId="3" fillId="0" borderId="29" xfId="0" applyNumberFormat="1" applyFont="1" applyFill="1" applyBorder="1" applyAlignment="1" applyProtection="1">
      <alignment horizontal="center"/>
      <protection locked="0"/>
    </xf>
    <xf numFmtId="11" fontId="0" fillId="0" borderId="26" xfId="0" applyNumberFormat="1" applyFont="1" applyBorder="1" applyAlignment="1" applyProtection="1">
      <alignment horizontal="center"/>
      <protection locked="0"/>
    </xf>
    <xf numFmtId="11" fontId="0" fillId="0" borderId="23" xfId="0" applyNumberFormat="1" applyFont="1" applyBorder="1" applyAlignment="1" applyProtection="1">
      <alignment horizontal="center"/>
      <protection locked="0"/>
    </xf>
    <xf numFmtId="11" fontId="0" fillId="0" borderId="30" xfId="0" applyNumberFormat="1" applyFont="1" applyBorder="1" applyAlignment="1" applyProtection="1">
      <alignment horizontal="center"/>
      <protection locked="0"/>
    </xf>
    <xf numFmtId="11" fontId="0" fillId="0" borderId="25" xfId="0" applyNumberFormat="1" applyFont="1" applyBorder="1" applyAlignment="1">
      <alignment horizontal="center"/>
    </xf>
    <xf numFmtId="11" fontId="0" fillId="0" borderId="26" xfId="0" applyNumberFormat="1" applyFont="1" applyBorder="1" applyAlignment="1">
      <alignment horizontal="center"/>
    </xf>
    <xf numFmtId="11" fontId="3" fillId="0" borderId="23" xfId="0" applyNumberFormat="1" applyFont="1" applyFill="1" applyBorder="1" applyAlignment="1" applyProtection="1">
      <alignment horizontal="center"/>
      <protection locked="0"/>
    </xf>
    <xf numFmtId="11" fontId="49" fillId="0" borderId="0" xfId="0" applyNumberFormat="1" applyFont="1" applyBorder="1" applyAlignment="1">
      <alignment horizontal="center"/>
    </xf>
    <xf numFmtId="1" fontId="18" fillId="0" borderId="0" xfId="39" applyNumberFormat="1" applyFont="1" applyFill="1" applyBorder="1" applyAlignment="1" applyProtection="1">
      <alignment horizontal="center"/>
      <protection hidden="1"/>
    </xf>
    <xf numFmtId="178" fontId="18" fillId="0" borderId="0" xfId="39" applyNumberFormat="1" applyFont="1" applyFill="1" applyBorder="1" applyAlignment="1" applyProtection="1">
      <alignment horizontal="center"/>
      <protection hidden="1"/>
    </xf>
    <xf numFmtId="1" fontId="18" fillId="30" borderId="0" xfId="39" applyNumberFormat="1" applyFont="1" applyFill="1" applyBorder="1" applyAlignment="1" applyProtection="1">
      <alignment horizontal="center"/>
      <protection hidden="1"/>
    </xf>
    <xf numFmtId="178" fontId="18" fillId="30" borderId="0" xfId="39" applyNumberFormat="1" applyFont="1" applyFill="1" applyBorder="1" applyAlignment="1" applyProtection="1">
      <alignment horizontal="center"/>
      <protection hidden="1"/>
    </xf>
    <xf numFmtId="0" fontId="18" fillId="29" borderId="35" xfId="39" applyFont="1" applyFill="1" applyBorder="1" applyAlignment="1" applyProtection="1">
      <alignment horizontal="center" vertical="center" wrapText="1"/>
      <protection hidden="1"/>
    </xf>
    <xf numFmtId="0" fontId="43" fillId="0" borderId="15" xfId="0" applyFont="1" applyFill="1" applyBorder="1" applyAlignment="1" applyProtection="1">
      <alignment horizontal="center" vertical="center" wrapText="1"/>
      <protection hidden="1"/>
    </xf>
    <xf numFmtId="1" fontId="18" fillId="0" borderId="16" xfId="39" applyNumberFormat="1" applyFont="1" applyFill="1" applyBorder="1" applyAlignment="1" applyProtection="1">
      <alignment horizontal="center"/>
      <protection hidden="1"/>
    </xf>
    <xf numFmtId="0" fontId="43" fillId="30" borderId="15" xfId="0" applyFont="1" applyFill="1" applyBorder="1" applyAlignment="1" applyProtection="1">
      <alignment horizontal="center" vertical="center" wrapText="1"/>
      <protection hidden="1"/>
    </xf>
    <xf numFmtId="1" fontId="18" fillId="30" borderId="16" xfId="39" applyNumberFormat="1" applyFont="1" applyFill="1" applyBorder="1" applyAlignment="1" applyProtection="1">
      <alignment horizontal="center"/>
      <protection hidden="1"/>
    </xf>
    <xf numFmtId="0" fontId="43" fillId="30" borderId="17" xfId="0" applyFont="1" applyFill="1" applyBorder="1" applyAlignment="1" applyProtection="1">
      <alignment horizontal="center" vertical="center" wrapText="1"/>
      <protection hidden="1"/>
    </xf>
    <xf numFmtId="1" fontId="18" fillId="30" borderId="12" xfId="39" applyNumberFormat="1" applyFont="1" applyFill="1" applyBorder="1" applyAlignment="1" applyProtection="1">
      <alignment horizontal="center"/>
      <protection hidden="1"/>
    </xf>
    <xf numFmtId="178" fontId="18" fillId="30" borderId="12" xfId="39" applyNumberFormat="1" applyFont="1" applyFill="1" applyBorder="1" applyAlignment="1" applyProtection="1">
      <alignment horizontal="center"/>
      <protection hidden="1"/>
    </xf>
    <xf numFmtId="1" fontId="18" fillId="30" borderId="18" xfId="39" applyNumberFormat="1" applyFont="1" applyFill="1" applyBorder="1" applyAlignment="1" applyProtection="1">
      <alignment horizontal="center"/>
      <protection hidden="1"/>
    </xf>
    <xf numFmtId="11" fontId="49" fillId="0" borderId="25" xfId="0" applyNumberFormat="1" applyFont="1" applyBorder="1" applyAlignment="1">
      <alignment horizontal="center"/>
    </xf>
    <xf numFmtId="11" fontId="3" fillId="0" borderId="29" xfId="0" applyNumberFormat="1" applyFont="1" applyFill="1" applyBorder="1" applyAlignment="1" applyProtection="1">
      <alignment horizontal="center"/>
      <protection locked="0"/>
    </xf>
    <xf numFmtId="2" fontId="0" fillId="0" borderId="29" xfId="0" applyNumberFormat="1" applyFont="1" applyBorder="1" applyAlignment="1">
      <alignment horizontal="center"/>
    </xf>
    <xf numFmtId="2" fontId="0" fillId="0" borderId="30" xfId="0" applyNumberFormat="1" applyFont="1" applyBorder="1" applyAlignment="1">
      <alignment horizontal="center"/>
    </xf>
    <xf numFmtId="1" fontId="0" fillId="0" borderId="28" xfId="0" applyNumberFormat="1" applyFont="1" applyBorder="1" applyAlignment="1">
      <alignment horizontal="center"/>
    </xf>
    <xf numFmtId="0" fontId="50" fillId="28" borderId="0" xfId="57" applyFill="1"/>
    <xf numFmtId="0" fontId="50" fillId="28" borderId="24" xfId="57" applyFill="1" applyBorder="1"/>
    <xf numFmtId="0" fontId="50" fillId="28" borderId="25" xfId="57" applyFill="1" applyBorder="1"/>
    <xf numFmtId="0" fontId="50" fillId="28" borderId="26" xfId="57" applyFill="1" applyBorder="1"/>
    <xf numFmtId="0" fontId="50" fillId="28" borderId="22" xfId="57" applyFill="1" applyBorder="1"/>
    <xf numFmtId="0" fontId="51" fillId="28" borderId="0" xfId="57" applyFont="1" applyFill="1" applyAlignment="1">
      <alignment vertical="center"/>
    </xf>
    <xf numFmtId="0" fontId="50" fillId="28" borderId="0" xfId="57" applyFill="1" applyBorder="1"/>
    <xf numFmtId="0" fontId="50" fillId="28" borderId="23" xfId="57" applyFill="1" applyBorder="1"/>
    <xf numFmtId="0" fontId="52" fillId="28" borderId="0" xfId="57" applyFont="1" applyFill="1" applyAlignment="1">
      <alignment vertical="center"/>
    </xf>
    <xf numFmtId="0" fontId="52" fillId="28" borderId="0" xfId="57" applyFont="1" applyFill="1" applyAlignment="1">
      <alignment horizontal="left" vertical="center" indent="4"/>
    </xf>
    <xf numFmtId="0" fontId="54" fillId="28" borderId="0" xfId="57" applyFont="1" applyFill="1" applyAlignment="1">
      <alignment horizontal="left" vertical="center" indent="8"/>
    </xf>
    <xf numFmtId="0" fontId="1" fillId="28" borderId="0" xfId="57" applyFont="1" applyFill="1" applyBorder="1"/>
    <xf numFmtId="0" fontId="28" fillId="28" borderId="22" xfId="57" applyFont="1" applyFill="1" applyBorder="1"/>
    <xf numFmtId="0" fontId="28" fillId="28" borderId="23" xfId="57" applyFont="1" applyFill="1" applyBorder="1"/>
    <xf numFmtId="0" fontId="28" fillId="28" borderId="0" xfId="57" applyFont="1" applyFill="1" applyBorder="1"/>
    <xf numFmtId="0" fontId="28" fillId="28" borderId="28" xfId="57" applyFont="1" applyFill="1" applyBorder="1"/>
    <xf numFmtId="0" fontId="28" fillId="28" borderId="29" xfId="57" applyFont="1" applyFill="1" applyBorder="1"/>
    <xf numFmtId="0" fontId="28" fillId="28" borderId="30" xfId="57" applyFont="1" applyFill="1" applyBorder="1"/>
    <xf numFmtId="0" fontId="0" fillId="28" borderId="0" xfId="57" applyFont="1" applyFill="1"/>
    <xf numFmtId="0" fontId="0" fillId="0" borderId="0" xfId="0" applyAlignment="1">
      <alignment horizontal="center"/>
    </xf>
    <xf numFmtId="0" fontId="0" fillId="0" borderId="25" xfId="0" applyBorder="1" applyAlignment="1">
      <alignment horizontal="center"/>
    </xf>
    <xf numFmtId="11" fontId="0" fillId="0" borderId="29" xfId="0" applyNumberFormat="1" applyBorder="1" applyAlignment="1">
      <alignment horizontal="center"/>
    </xf>
    <xf numFmtId="0" fontId="3" fillId="0" borderId="0" xfId="43" applyFont="1" applyFill="1" applyBorder="1" applyAlignment="1" applyProtection="1">
      <alignment horizontal="center"/>
      <protection locked="0"/>
    </xf>
    <xf numFmtId="1" fontId="0" fillId="0" borderId="22" xfId="1" applyNumberFormat="1" applyFont="1" applyBorder="1" applyAlignment="1" applyProtection="1">
      <alignment horizontal="center" vertical="center"/>
      <protection locked="0"/>
    </xf>
    <xf numFmtId="1" fontId="3" fillId="0" borderId="0" xfId="0" applyNumberFormat="1" applyFont="1" applyFill="1" applyBorder="1" applyAlignment="1" applyProtection="1">
      <alignment horizontal="center"/>
      <protection locked="0"/>
    </xf>
    <xf numFmtId="178" fontId="0" fillId="0" borderId="26" xfId="0" applyNumberFormat="1" applyFont="1" applyBorder="1" applyAlignment="1">
      <alignment horizontal="center"/>
    </xf>
    <xf numFmtId="178" fontId="0" fillId="0" borderId="23" xfId="0" applyNumberFormat="1" applyFont="1" applyBorder="1" applyAlignment="1">
      <alignment horizontal="center"/>
    </xf>
    <xf numFmtId="178" fontId="0" fillId="0" borderId="30" xfId="0" applyNumberFormat="1" applyFont="1" applyBorder="1" applyAlignment="1">
      <alignment horizontal="center"/>
    </xf>
    <xf numFmtId="0" fontId="60" fillId="31" borderId="0" xfId="0" applyFont="1" applyFill="1" applyBorder="1" applyAlignment="1" applyProtection="1">
      <alignment horizontal="left"/>
      <protection locked="0"/>
    </xf>
    <xf numFmtId="0" fontId="49" fillId="0" borderId="22" xfId="0" applyFont="1" applyBorder="1" applyAlignment="1">
      <alignment horizontal="center"/>
    </xf>
    <xf numFmtId="0" fontId="49" fillId="0" borderId="23" xfId="0" applyFont="1" applyBorder="1" applyAlignment="1">
      <alignment horizontal="center"/>
    </xf>
    <xf numFmtId="0" fontId="49" fillId="0" borderId="28" xfId="0" applyFont="1" applyBorder="1" applyAlignment="1">
      <alignment horizontal="center"/>
    </xf>
    <xf numFmtId="0" fontId="49" fillId="0" borderId="29" xfId="0" applyFont="1" applyBorder="1" applyAlignment="1">
      <alignment horizontal="center"/>
    </xf>
    <xf numFmtId="0" fontId="49" fillId="0" borderId="30" xfId="0" applyFont="1" applyBorder="1" applyAlignment="1">
      <alignment horizontal="center"/>
    </xf>
    <xf numFmtId="2" fontId="0" fillId="0" borderId="0" xfId="0" applyNumberFormat="1" applyFont="1" applyBorder="1" applyAlignment="1">
      <alignment horizontal="center"/>
    </xf>
    <xf numFmtId="2" fontId="3" fillId="0" borderId="0" xfId="0" applyNumberFormat="1" applyFont="1" applyFill="1" applyBorder="1" applyAlignment="1" applyProtection="1">
      <alignment horizontal="center"/>
      <protection locked="0"/>
    </xf>
    <xf numFmtId="2" fontId="0" fillId="0" borderId="23" xfId="0" applyNumberFormat="1" applyFont="1" applyBorder="1" applyAlignment="1">
      <alignment horizontal="center"/>
    </xf>
    <xf numFmtId="1" fontId="3" fillId="0" borderId="22" xfId="0" applyNumberFormat="1" applyFont="1" applyFill="1" applyBorder="1" applyAlignment="1" applyProtection="1">
      <alignment horizontal="center"/>
      <protection locked="0"/>
    </xf>
    <xf numFmtId="1" fontId="3" fillId="0" borderId="24" xfId="0" applyNumberFormat="1" applyFont="1" applyFill="1" applyBorder="1" applyAlignment="1" applyProtection="1">
      <alignment horizontal="center"/>
      <protection locked="0"/>
    </xf>
    <xf numFmtId="1" fontId="3" fillId="0" borderId="28" xfId="0" applyNumberFormat="1" applyFont="1" applyFill="1" applyBorder="1" applyAlignment="1" applyProtection="1">
      <alignment horizontal="center"/>
      <protection locked="0"/>
    </xf>
    <xf numFmtId="1" fontId="0" fillId="0" borderId="22" xfId="0" applyNumberFormat="1" applyFont="1" applyBorder="1" applyAlignment="1">
      <alignment horizontal="center"/>
    </xf>
    <xf numFmtId="1" fontId="0" fillId="0" borderId="24" xfId="0" applyNumberFormat="1" applyFont="1" applyBorder="1" applyAlignment="1" applyProtection="1">
      <alignment horizontal="center"/>
      <protection locked="0"/>
    </xf>
    <xf numFmtId="1" fontId="0" fillId="0" borderId="22" xfId="0" applyNumberFormat="1" applyFont="1" applyBorder="1" applyAlignment="1" applyProtection="1">
      <alignment horizontal="center"/>
      <protection locked="0"/>
    </xf>
    <xf numFmtId="1" fontId="0" fillId="0" borderId="28" xfId="0" applyNumberFormat="1" applyFont="1" applyBorder="1" applyAlignment="1" applyProtection="1">
      <alignment horizontal="center"/>
      <protection locked="0"/>
    </xf>
    <xf numFmtId="1" fontId="0" fillId="0" borderId="0" xfId="0" applyNumberFormat="1" applyFont="1" applyBorder="1" applyAlignment="1" applyProtection="1">
      <alignment horizontal="center"/>
      <protection locked="0"/>
    </xf>
    <xf numFmtId="11" fontId="49" fillId="0" borderId="26" xfId="0" applyNumberFormat="1" applyFont="1" applyBorder="1" applyAlignment="1">
      <alignment horizontal="center"/>
    </xf>
    <xf numFmtId="178" fontId="0" fillId="0" borderId="22" xfId="0" applyNumberFormat="1" applyBorder="1" applyAlignment="1">
      <alignment horizontal="center"/>
    </xf>
    <xf numFmtId="0" fontId="0" fillId="0" borderId="26" xfId="0" applyBorder="1" applyAlignment="1">
      <alignment horizontal="center"/>
    </xf>
    <xf numFmtId="178" fontId="0" fillId="0" borderId="24" xfId="0" applyNumberFormat="1" applyBorder="1" applyAlignment="1">
      <alignment horizontal="center"/>
    </xf>
    <xf numFmtId="178" fontId="0" fillId="0" borderId="28" xfId="0" applyNumberFormat="1" applyBorder="1" applyAlignment="1">
      <alignment horizontal="center"/>
    </xf>
    <xf numFmtId="1" fontId="0" fillId="0" borderId="26" xfId="0" applyNumberFormat="1" applyBorder="1" applyAlignment="1">
      <alignment horizontal="center"/>
    </xf>
    <xf numFmtId="1" fontId="0" fillId="0" borderId="30" xfId="0" applyNumberFormat="1" applyBorder="1" applyAlignment="1">
      <alignment horizontal="center"/>
    </xf>
    <xf numFmtId="179" fontId="0" fillId="0" borderId="31" xfId="0" applyNumberFormat="1" applyBorder="1" applyAlignment="1">
      <alignment horizontal="center"/>
    </xf>
    <xf numFmtId="181" fontId="0" fillId="0" borderId="0" xfId="0" applyNumberFormat="1" applyFont="1" applyBorder="1" applyAlignment="1" applyProtection="1">
      <alignment horizontal="center"/>
      <protection locked="0"/>
    </xf>
    <xf numFmtId="181" fontId="0" fillId="0" borderId="23" xfId="0" applyNumberFormat="1" applyFont="1" applyBorder="1" applyAlignment="1" applyProtection="1">
      <alignment horizontal="center"/>
      <protection locked="0"/>
    </xf>
    <xf numFmtId="182" fontId="49" fillId="0" borderId="24" xfId="0" applyNumberFormat="1" applyFont="1" applyBorder="1" applyAlignment="1">
      <alignment horizontal="center"/>
    </xf>
    <xf numFmtId="182" fontId="49" fillId="0" borderId="25" xfId="0" applyNumberFormat="1" applyFont="1" applyBorder="1" applyAlignment="1">
      <alignment horizontal="center"/>
    </xf>
    <xf numFmtId="182" fontId="49" fillId="0" borderId="26" xfId="0" applyNumberFormat="1" applyFont="1" applyBorder="1" applyAlignment="1">
      <alignment horizontal="center"/>
    </xf>
    <xf numFmtId="11" fontId="49" fillId="0" borderId="22" xfId="0" applyNumberFormat="1" applyFont="1" applyBorder="1" applyAlignment="1">
      <alignment horizontal="center"/>
    </xf>
    <xf numFmtId="11" fontId="49" fillId="0" borderId="23" xfId="0" applyNumberFormat="1" applyFont="1" applyBorder="1" applyAlignment="1">
      <alignment horizontal="center"/>
    </xf>
    <xf numFmtId="0" fontId="0" fillId="0" borderId="0" xfId="0" applyBorder="1" applyAlignment="1">
      <alignment horizontal="center"/>
    </xf>
    <xf numFmtId="0" fontId="47" fillId="31" borderId="32" xfId="0" applyFont="1" applyFill="1" applyBorder="1" applyAlignment="1" applyProtection="1">
      <alignment horizontal="center"/>
      <protection locked="0"/>
    </xf>
    <xf numFmtId="0" fontId="3" fillId="0" borderId="30" xfId="0" applyNumberFormat="1" applyFont="1" applyFill="1" applyBorder="1" applyAlignment="1" applyProtection="1">
      <alignment horizontal="center"/>
      <protection locked="0"/>
    </xf>
    <xf numFmtId="11" fontId="49" fillId="0" borderId="28" xfId="0" applyNumberFormat="1" applyFont="1" applyBorder="1" applyAlignment="1">
      <alignment horizontal="center"/>
    </xf>
    <xf numFmtId="11" fontId="49" fillId="0" borderId="29" xfId="0" applyNumberFormat="1" applyFont="1" applyBorder="1" applyAlignment="1">
      <alignment horizontal="center"/>
    </xf>
    <xf numFmtId="11" fontId="49" fillId="0" borderId="30" xfId="0" applyNumberFormat="1" applyFont="1" applyBorder="1" applyAlignment="1">
      <alignment horizontal="center"/>
    </xf>
    <xf numFmtId="11" fontId="49" fillId="0" borderId="24" xfId="0" applyNumberFormat="1" applyFont="1" applyBorder="1" applyAlignment="1" applyProtection="1">
      <alignment horizontal="center"/>
      <protection locked="0"/>
    </xf>
    <xf numFmtId="11" fontId="49" fillId="0" borderId="25" xfId="0" applyNumberFormat="1" applyFont="1" applyBorder="1" applyAlignment="1" applyProtection="1">
      <alignment horizontal="center"/>
      <protection locked="0"/>
    </xf>
    <xf numFmtId="11" fontId="49" fillId="0" borderId="26" xfId="0" applyNumberFormat="1" applyFont="1" applyBorder="1" applyAlignment="1" applyProtection="1">
      <alignment horizontal="center"/>
      <protection locked="0"/>
    </xf>
    <xf numFmtId="11" fontId="0" fillId="0" borderId="23" xfId="0" applyNumberFormat="1" applyFont="1" applyBorder="1" applyAlignment="1">
      <alignment horizontal="center"/>
    </xf>
    <xf numFmtId="0" fontId="18" fillId="29" borderId="36" xfId="39" applyFont="1" applyFill="1" applyBorder="1" applyAlignment="1" applyProtection="1">
      <alignment horizontal="center" vertical="center" wrapText="1"/>
      <protection hidden="1"/>
    </xf>
    <xf numFmtId="0" fontId="18" fillId="29" borderId="37" xfId="39" applyFont="1" applyFill="1" applyBorder="1" applyAlignment="1" applyProtection="1">
      <alignment horizontal="center" vertical="center" wrapText="1"/>
      <protection hidden="1"/>
    </xf>
    <xf numFmtId="0" fontId="18" fillId="29" borderId="38" xfId="39" applyFont="1" applyFill="1" applyBorder="1" applyAlignment="1" applyProtection="1">
      <alignment horizontal="center" vertical="center" wrapText="1"/>
      <protection hidden="1"/>
    </xf>
    <xf numFmtId="0" fontId="43" fillId="0" borderId="39" xfId="0" applyFont="1" applyFill="1" applyBorder="1" applyAlignment="1" applyProtection="1">
      <alignment horizontal="center" vertical="center" wrapText="1"/>
      <protection hidden="1"/>
    </xf>
    <xf numFmtId="1" fontId="18" fillId="0" borderId="40" xfId="39" applyNumberFormat="1" applyFont="1" applyFill="1" applyBorder="1" applyAlignment="1" applyProtection="1">
      <alignment horizontal="center"/>
      <protection hidden="1"/>
    </xf>
    <xf numFmtId="1" fontId="18" fillId="0" borderId="41" xfId="39" applyNumberFormat="1" applyFont="1" applyFill="1" applyBorder="1" applyAlignment="1" applyProtection="1">
      <alignment horizontal="center"/>
      <protection hidden="1"/>
    </xf>
    <xf numFmtId="1" fontId="18" fillId="0" borderId="42" xfId="39" applyNumberFormat="1" applyFont="1" applyFill="1" applyBorder="1" applyAlignment="1" applyProtection="1">
      <alignment horizontal="center"/>
      <protection hidden="1"/>
    </xf>
    <xf numFmtId="1" fontId="18" fillId="30" borderId="42" xfId="39" applyNumberFormat="1" applyFont="1" applyFill="1" applyBorder="1" applyAlignment="1" applyProtection="1">
      <alignment horizontal="center"/>
      <protection hidden="1"/>
    </xf>
    <xf numFmtId="1" fontId="18" fillId="30" borderId="43" xfId="39" applyNumberFormat="1" applyFont="1" applyFill="1" applyBorder="1" applyAlignment="1" applyProtection="1">
      <alignment horizontal="center"/>
      <protection hidden="1"/>
    </xf>
    <xf numFmtId="11" fontId="0" fillId="0" borderId="0" xfId="0" applyNumberFormat="1" applyFont="1" applyBorder="1" applyAlignment="1">
      <alignment horizontal="center"/>
    </xf>
    <xf numFmtId="0" fontId="2" fillId="0" borderId="23" xfId="0" applyFont="1" applyFill="1" applyBorder="1" applyAlignment="1">
      <alignment horizontal="center"/>
    </xf>
    <xf numFmtId="11" fontId="0" fillId="0" borderId="22" xfId="0" applyNumberFormat="1" applyFont="1" applyBorder="1" applyAlignment="1">
      <alignment horizontal="center"/>
    </xf>
    <xf numFmtId="0" fontId="18" fillId="29" borderId="41" xfId="39" applyFont="1" applyFill="1" applyBorder="1" applyAlignment="1" applyProtection="1">
      <alignment horizontal="center" vertical="center" wrapText="1"/>
      <protection hidden="1"/>
    </xf>
    <xf numFmtId="0" fontId="0" fillId="0" borderId="0" xfId="0" applyBorder="1" applyAlignment="1">
      <alignment horizontal="center"/>
    </xf>
    <xf numFmtId="0" fontId="0" fillId="0" borderId="29" xfId="0" applyBorder="1" applyAlignment="1">
      <alignment horizontal="center"/>
    </xf>
    <xf numFmtId="0" fontId="2" fillId="0" borderId="24" xfId="0" applyFont="1" applyFill="1" applyBorder="1" applyAlignment="1">
      <alignment horizontal="center"/>
    </xf>
    <xf numFmtId="0" fontId="2" fillId="0" borderId="26" xfId="0" applyFont="1" applyFill="1" applyBorder="1" applyAlignment="1">
      <alignment horizontal="center"/>
    </xf>
    <xf numFmtId="0" fontId="2" fillId="0" borderId="31" xfId="0" applyFont="1" applyFill="1" applyBorder="1" applyAlignment="1">
      <alignment horizontal="center"/>
    </xf>
    <xf numFmtId="0" fontId="18" fillId="29" borderId="44" xfId="39" applyFont="1" applyFill="1" applyBorder="1" applyAlignment="1" applyProtection="1">
      <alignment horizontal="center" vertical="center" wrapText="1"/>
      <protection hidden="1"/>
    </xf>
    <xf numFmtId="0" fontId="18" fillId="29" borderId="45" xfId="39" applyFont="1" applyFill="1" applyBorder="1" applyAlignment="1" applyProtection="1">
      <alignment horizontal="center" vertical="center" wrapText="1"/>
      <protection hidden="1"/>
    </xf>
    <xf numFmtId="0" fontId="18" fillId="29" borderId="46" xfId="39" applyFont="1" applyFill="1" applyBorder="1" applyAlignment="1" applyProtection="1">
      <alignment horizontal="center" vertical="center" wrapText="1"/>
      <protection hidden="1"/>
    </xf>
    <xf numFmtId="178" fontId="18" fillId="0" borderId="40" xfId="39" applyNumberFormat="1" applyFont="1" applyFill="1" applyBorder="1" applyAlignment="1" applyProtection="1">
      <alignment horizontal="center"/>
      <protection hidden="1"/>
    </xf>
    <xf numFmtId="0" fontId="3" fillId="0" borderId="29" xfId="0" quotePrefix="1" applyNumberFormat="1" applyFont="1" applyFill="1" applyBorder="1" applyAlignment="1" applyProtection="1">
      <alignment horizontal="center"/>
      <protection locked="0"/>
    </xf>
    <xf numFmtId="1" fontId="2" fillId="0" borderId="26" xfId="0" applyNumberFormat="1" applyFont="1" applyFill="1" applyBorder="1" applyAlignment="1">
      <alignment horizontal="center"/>
    </xf>
    <xf numFmtId="0" fontId="46" fillId="0" borderId="26" xfId="55" applyBorder="1" applyAlignment="1">
      <alignment horizontal="center"/>
    </xf>
    <xf numFmtId="0" fontId="2" fillId="0" borderId="31" xfId="0" applyFont="1" applyBorder="1" applyAlignment="1">
      <alignment horizontal="center"/>
    </xf>
    <xf numFmtId="1" fontId="0" fillId="0" borderId="31" xfId="0" applyNumberFormat="1" applyBorder="1" applyAlignment="1">
      <alignment horizontal="center"/>
    </xf>
    <xf numFmtId="1" fontId="0" fillId="0" borderId="33" xfId="0" applyNumberFormat="1" applyBorder="1" applyAlignment="1">
      <alignment horizontal="center"/>
    </xf>
    <xf numFmtId="1" fontId="0" fillId="0" borderId="34" xfId="0" applyNumberFormat="1" applyBorder="1" applyAlignment="1">
      <alignment horizontal="center"/>
    </xf>
    <xf numFmtId="11" fontId="0" fillId="0" borderId="24" xfId="0" applyNumberFormat="1" applyFont="1" applyBorder="1" applyAlignment="1">
      <alignment horizontal="center"/>
    </xf>
    <xf numFmtId="0" fontId="49" fillId="0" borderId="24" xfId="0" applyFont="1" applyBorder="1" applyAlignment="1">
      <alignment horizontal="center"/>
    </xf>
    <xf numFmtId="1" fontId="0" fillId="0" borderId="24" xfId="0" applyNumberFormat="1" applyFont="1" applyBorder="1" applyAlignment="1">
      <alignment horizontal="center"/>
    </xf>
    <xf numFmtId="0" fontId="0" fillId="0" borderId="0" xfId="0" quotePrefix="1" applyProtection="1"/>
    <xf numFmtId="0" fontId="0" fillId="0" borderId="0" xfId="0" applyBorder="1" applyAlignment="1">
      <alignment horizontal="center"/>
    </xf>
    <xf numFmtId="0" fontId="0" fillId="0" borderId="0" xfId="0" applyBorder="1" applyAlignment="1">
      <alignment horizontal="center"/>
    </xf>
    <xf numFmtId="0" fontId="0" fillId="0" borderId="29" xfId="0" applyBorder="1" applyAlignment="1">
      <alignment horizontal="center"/>
    </xf>
    <xf numFmtId="180" fontId="0" fillId="0" borderId="25" xfId="0" applyNumberFormat="1" applyBorder="1" applyAlignment="1">
      <alignment horizontal="center"/>
    </xf>
    <xf numFmtId="0" fontId="37" fillId="26" borderId="0" xfId="39" quotePrefix="1" applyFont="1" applyFill="1" applyBorder="1" applyAlignment="1" applyProtection="1">
      <alignment horizontal="center"/>
    </xf>
    <xf numFmtId="11" fontId="37" fillId="0" borderId="0" xfId="0" applyNumberFormat="1" applyFont="1" applyProtection="1"/>
    <xf numFmtId="184" fontId="0" fillId="0" borderId="23" xfId="0" applyNumberFormat="1" applyBorder="1" applyAlignment="1">
      <alignment horizontal="center"/>
    </xf>
    <xf numFmtId="185" fontId="0" fillId="0" borderId="23" xfId="0" applyNumberFormat="1" applyBorder="1" applyAlignment="1">
      <alignment horizontal="center"/>
    </xf>
    <xf numFmtId="181" fontId="0" fillId="0" borderId="25" xfId="0" applyNumberFormat="1" applyFont="1" applyBorder="1" applyAlignment="1" applyProtection="1">
      <alignment horizontal="center"/>
      <protection locked="0"/>
    </xf>
    <xf numFmtId="181" fontId="0" fillId="0" borderId="26" xfId="0" applyNumberFormat="1" applyFont="1" applyBorder="1" applyAlignment="1" applyProtection="1">
      <alignment horizontal="center"/>
      <protection locked="0"/>
    </xf>
    <xf numFmtId="0" fontId="3" fillId="0" borderId="30" xfId="0" applyFont="1" applyFill="1" applyBorder="1" applyAlignment="1" applyProtection="1">
      <alignment horizontal="center"/>
      <protection locked="0"/>
    </xf>
    <xf numFmtId="185" fontId="0" fillId="0" borderId="0" xfId="0" applyNumberFormat="1"/>
    <xf numFmtId="178" fontId="45" fillId="0" borderId="0" xfId="0" applyNumberFormat="1" applyFont="1" applyProtection="1"/>
    <xf numFmtId="1" fontId="0" fillId="0" borderId="25" xfId="0" applyNumberFormat="1" applyBorder="1" applyAlignment="1">
      <alignment horizontal="center"/>
    </xf>
    <xf numFmtId="183" fontId="0" fillId="0" borderId="0" xfId="0" applyNumberFormat="1" applyBorder="1" applyAlignment="1">
      <alignment horizontal="center"/>
    </xf>
    <xf numFmtId="1" fontId="2" fillId="0" borderId="31" xfId="0" applyNumberFormat="1" applyFont="1" applyFill="1" applyBorder="1" applyAlignment="1">
      <alignment horizontal="center"/>
    </xf>
    <xf numFmtId="1" fontId="2" fillId="0" borderId="33" xfId="0" applyNumberFormat="1" applyFont="1" applyFill="1" applyBorder="1" applyAlignment="1">
      <alignment horizontal="center"/>
    </xf>
    <xf numFmtId="1" fontId="2" fillId="0" borderId="34" xfId="0" applyNumberFormat="1" applyFont="1" applyFill="1" applyBorder="1" applyAlignment="1">
      <alignment horizontal="center"/>
    </xf>
    <xf numFmtId="179" fontId="0" fillId="0" borderId="34" xfId="0" applyNumberFormat="1" applyBorder="1" applyAlignment="1">
      <alignment horizontal="center"/>
    </xf>
    <xf numFmtId="0" fontId="0" fillId="0" borderId="0" xfId="57" applyFont="1" applyAlignment="1">
      <alignment horizontal="left" vertical="center" wrapText="1" indent="8"/>
    </xf>
    <xf numFmtId="0" fontId="1" fillId="0" borderId="0" xfId="57" applyFont="1" applyAlignment="1">
      <alignment horizontal="left" vertical="center" wrapText="1" indent="8"/>
    </xf>
    <xf numFmtId="0" fontId="52" fillId="28" borderId="0" xfId="57" applyFont="1" applyFill="1" applyAlignment="1">
      <alignment horizontal="left" vertical="center" wrapText="1"/>
    </xf>
    <xf numFmtId="0" fontId="52" fillId="0" borderId="0" xfId="57" applyFont="1" applyAlignment="1">
      <alignment horizontal="left" vertical="center" wrapText="1" indent="4"/>
    </xf>
    <xf numFmtId="0" fontId="50" fillId="28" borderId="0" xfId="57" applyFill="1" applyBorder="1"/>
    <xf numFmtId="0" fontId="52" fillId="0" borderId="0" xfId="57" applyFont="1" applyAlignment="1">
      <alignment vertical="center" wrapText="1"/>
    </xf>
    <xf numFmtId="0" fontId="52" fillId="28" borderId="0" xfId="57" applyFont="1" applyFill="1" applyAlignment="1">
      <alignment vertical="center" wrapText="1"/>
    </xf>
    <xf numFmtId="0" fontId="52" fillId="28" borderId="0" xfId="57" applyFont="1" applyFill="1" applyAlignment="1">
      <alignment horizontal="left" vertical="center" wrapText="1" indent="4"/>
    </xf>
    <xf numFmtId="0" fontId="26" fillId="0" borderId="0" xfId="0" applyFont="1" applyAlignment="1" applyProtection="1">
      <alignment horizontal="center"/>
    </xf>
    <xf numFmtId="0" fontId="26" fillId="0" borderId="12" xfId="0" applyFont="1" applyBorder="1" applyAlignment="1" applyProtection="1">
      <alignment horizontal="center"/>
    </xf>
    <xf numFmtId="0" fontId="28" fillId="27" borderId="15" xfId="39" applyFont="1" applyFill="1" applyBorder="1" applyAlignment="1" applyProtection="1">
      <alignment horizontal="center"/>
      <protection locked="0"/>
    </xf>
    <xf numFmtId="0" fontId="28" fillId="27" borderId="0" xfId="39" applyFont="1" applyFill="1" applyBorder="1" applyAlignment="1" applyProtection="1">
      <alignment horizontal="center"/>
      <protection locked="0"/>
    </xf>
    <xf numFmtId="3" fontId="28" fillId="27" borderId="15" xfId="39" applyNumberFormat="1" applyFont="1" applyFill="1" applyBorder="1" applyAlignment="1" applyProtection="1">
      <alignment horizontal="center"/>
      <protection locked="0"/>
    </xf>
    <xf numFmtId="3" fontId="28" fillId="27" borderId="0" xfId="39" applyNumberFormat="1" applyFont="1" applyFill="1" applyBorder="1" applyAlignment="1" applyProtection="1">
      <alignment horizontal="center"/>
      <protection locked="0"/>
    </xf>
    <xf numFmtId="0" fontId="41" fillId="28" borderId="0" xfId="0" applyFont="1" applyFill="1" applyAlignment="1" applyProtection="1">
      <alignment horizontal="center" vertical="center"/>
    </xf>
    <xf numFmtId="0" fontId="42" fillId="28" borderId="0" xfId="0" applyFont="1" applyFill="1" applyAlignment="1" applyProtection="1">
      <alignment horizontal="center" vertical="center"/>
    </xf>
    <xf numFmtId="0" fontId="0" fillId="0" borderId="29" xfId="0" applyBorder="1" applyAlignment="1">
      <alignment horizontal="center"/>
    </xf>
    <xf numFmtId="0" fontId="0" fillId="0" borderId="0" xfId="0" applyBorder="1" applyAlignment="1">
      <alignment horizontal="center"/>
    </xf>
  </cellXfs>
  <cellStyles count="742">
    <cellStyle name="20% - Accent1 10" xfId="58"/>
    <cellStyle name="20% - Accent1 11" xfId="59"/>
    <cellStyle name="20% - Accent1 12" xfId="60"/>
    <cellStyle name="20% - Accent1 2" xfId="2"/>
    <cellStyle name="20% - Accent1 2 2" xfId="61"/>
    <cellStyle name="20% - Accent1 2 2 2" xfId="62"/>
    <cellStyle name="20% - Accent1 2 3" xfId="63"/>
    <cellStyle name="20% - Accent1 2 3 2" xfId="64"/>
    <cellStyle name="20% - Accent1 2 4" xfId="65"/>
    <cellStyle name="20% - Accent1 2 5" xfId="66"/>
    <cellStyle name="20% - Accent1 2 6" xfId="67"/>
    <cellStyle name="20% - Accent1 2 7" xfId="68"/>
    <cellStyle name="20% - Accent1 2 8" xfId="69"/>
    <cellStyle name="20% - Accent1 2 9" xfId="70"/>
    <cellStyle name="20% - Accent1 3" xfId="71"/>
    <cellStyle name="20% - Accent1 3 2" xfId="72"/>
    <cellStyle name="20% - Accent1 3 2 2" xfId="73"/>
    <cellStyle name="20% - Accent1 3 3" xfId="74"/>
    <cellStyle name="20% - Accent1 3 3 2" xfId="75"/>
    <cellStyle name="20% - Accent1 3 4" xfId="76"/>
    <cellStyle name="20% - Accent1 3 5" xfId="77"/>
    <cellStyle name="20% - Accent1 3 6" xfId="78"/>
    <cellStyle name="20% - Accent1 3 7" xfId="79"/>
    <cellStyle name="20% - Accent1 3 8" xfId="80"/>
    <cellStyle name="20% - Accent1 3 9" xfId="81"/>
    <cellStyle name="20% - Accent1 4" xfId="82"/>
    <cellStyle name="20% - Accent1 4 2" xfId="83"/>
    <cellStyle name="20% - Accent1 5" xfId="84"/>
    <cellStyle name="20% - Accent1 5 2" xfId="85"/>
    <cellStyle name="20% - Accent1 6" xfId="86"/>
    <cellStyle name="20% - Accent1 6 2" xfId="87"/>
    <cellStyle name="20% - Accent1 7" xfId="88"/>
    <cellStyle name="20% - Accent1 8" xfId="89"/>
    <cellStyle name="20% - Accent1 9" xfId="90"/>
    <cellStyle name="20% - Accent2 10" xfId="91"/>
    <cellStyle name="20% - Accent2 11" xfId="92"/>
    <cellStyle name="20% - Accent2 12" xfId="93"/>
    <cellStyle name="20% - Accent2 2" xfId="3"/>
    <cellStyle name="20% - Accent2 2 2" xfId="94"/>
    <cellStyle name="20% - Accent2 2 2 2" xfId="95"/>
    <cellStyle name="20% - Accent2 2 3" xfId="96"/>
    <cellStyle name="20% - Accent2 2 3 2" xfId="97"/>
    <cellStyle name="20% - Accent2 2 4" xfId="98"/>
    <cellStyle name="20% - Accent2 2 5" xfId="99"/>
    <cellStyle name="20% - Accent2 2 6" xfId="100"/>
    <cellStyle name="20% - Accent2 2 7" xfId="101"/>
    <cellStyle name="20% - Accent2 2 8" xfId="102"/>
    <cellStyle name="20% - Accent2 2 9" xfId="103"/>
    <cellStyle name="20% - Accent2 3" xfId="104"/>
    <cellStyle name="20% - Accent2 3 2" xfId="105"/>
    <cellStyle name="20% - Accent2 3 2 2" xfId="106"/>
    <cellStyle name="20% - Accent2 3 3" xfId="107"/>
    <cellStyle name="20% - Accent2 3 3 2" xfId="108"/>
    <cellStyle name="20% - Accent2 3 4" xfId="109"/>
    <cellStyle name="20% - Accent2 3 5" xfId="110"/>
    <cellStyle name="20% - Accent2 3 6" xfId="111"/>
    <cellStyle name="20% - Accent2 3 7" xfId="112"/>
    <cellStyle name="20% - Accent2 3 8" xfId="113"/>
    <cellStyle name="20% - Accent2 3 9" xfId="114"/>
    <cellStyle name="20% - Accent2 4" xfId="115"/>
    <cellStyle name="20% - Accent2 4 2" xfId="116"/>
    <cellStyle name="20% - Accent2 5" xfId="117"/>
    <cellStyle name="20% - Accent2 5 2" xfId="118"/>
    <cellStyle name="20% - Accent2 6" xfId="119"/>
    <cellStyle name="20% - Accent2 6 2" xfId="120"/>
    <cellStyle name="20% - Accent2 7" xfId="121"/>
    <cellStyle name="20% - Accent2 8" xfId="122"/>
    <cellStyle name="20% - Accent2 9" xfId="123"/>
    <cellStyle name="20% - Accent3 10" xfId="124"/>
    <cellStyle name="20% - Accent3 11" xfId="125"/>
    <cellStyle name="20% - Accent3 12" xfId="126"/>
    <cellStyle name="20% - Accent3 2" xfId="4"/>
    <cellStyle name="20% - Accent3 2 2" xfId="127"/>
    <cellStyle name="20% - Accent3 2 2 2" xfId="128"/>
    <cellStyle name="20% - Accent3 2 3" xfId="129"/>
    <cellStyle name="20% - Accent3 2 3 2" xfId="130"/>
    <cellStyle name="20% - Accent3 2 4" xfId="131"/>
    <cellStyle name="20% - Accent3 2 5" xfId="132"/>
    <cellStyle name="20% - Accent3 2 6" xfId="133"/>
    <cellStyle name="20% - Accent3 2 7" xfId="134"/>
    <cellStyle name="20% - Accent3 2 8" xfId="135"/>
    <cellStyle name="20% - Accent3 2 9" xfId="136"/>
    <cellStyle name="20% - Accent3 3" xfId="137"/>
    <cellStyle name="20% - Accent3 3 2" xfId="138"/>
    <cellStyle name="20% - Accent3 3 2 2" xfId="139"/>
    <cellStyle name="20% - Accent3 3 3" xfId="140"/>
    <cellStyle name="20% - Accent3 3 3 2" xfId="141"/>
    <cellStyle name="20% - Accent3 3 4" xfId="142"/>
    <cellStyle name="20% - Accent3 3 5" xfId="143"/>
    <cellStyle name="20% - Accent3 3 6" xfId="144"/>
    <cellStyle name="20% - Accent3 3 7" xfId="145"/>
    <cellStyle name="20% - Accent3 3 8" xfId="146"/>
    <cellStyle name="20% - Accent3 3 9" xfId="147"/>
    <cellStyle name="20% - Accent3 4" xfId="148"/>
    <cellStyle name="20% - Accent3 4 2" xfId="149"/>
    <cellStyle name="20% - Accent3 5" xfId="150"/>
    <cellStyle name="20% - Accent3 5 2" xfId="151"/>
    <cellStyle name="20% - Accent3 6" xfId="152"/>
    <cellStyle name="20% - Accent3 6 2" xfId="153"/>
    <cellStyle name="20% - Accent3 7" xfId="154"/>
    <cellStyle name="20% - Accent3 8" xfId="155"/>
    <cellStyle name="20% - Accent3 9" xfId="156"/>
    <cellStyle name="20% - Accent4 10" xfId="157"/>
    <cellStyle name="20% - Accent4 11" xfId="158"/>
    <cellStyle name="20% - Accent4 12" xfId="159"/>
    <cellStyle name="20% - Accent4 2" xfId="5"/>
    <cellStyle name="20% - Accent4 2 2" xfId="160"/>
    <cellStyle name="20% - Accent4 2 2 2" xfId="161"/>
    <cellStyle name="20% - Accent4 2 3" xfId="162"/>
    <cellStyle name="20% - Accent4 2 3 2" xfId="163"/>
    <cellStyle name="20% - Accent4 2 4" xfId="164"/>
    <cellStyle name="20% - Accent4 2 5" xfId="165"/>
    <cellStyle name="20% - Accent4 2 6" xfId="166"/>
    <cellStyle name="20% - Accent4 2 7" xfId="167"/>
    <cellStyle name="20% - Accent4 2 8" xfId="168"/>
    <cellStyle name="20% - Accent4 2 9" xfId="169"/>
    <cellStyle name="20% - Accent4 3" xfId="170"/>
    <cellStyle name="20% - Accent4 3 2" xfId="171"/>
    <cellStyle name="20% - Accent4 3 2 2" xfId="172"/>
    <cellStyle name="20% - Accent4 3 3" xfId="173"/>
    <cellStyle name="20% - Accent4 3 3 2" xfId="174"/>
    <cellStyle name="20% - Accent4 3 4" xfId="175"/>
    <cellStyle name="20% - Accent4 3 5" xfId="176"/>
    <cellStyle name="20% - Accent4 3 6" xfId="177"/>
    <cellStyle name="20% - Accent4 3 7" xfId="178"/>
    <cellStyle name="20% - Accent4 3 8" xfId="179"/>
    <cellStyle name="20% - Accent4 3 9" xfId="180"/>
    <cellStyle name="20% - Accent4 4" xfId="181"/>
    <cellStyle name="20% - Accent4 4 2" xfId="182"/>
    <cellStyle name="20% - Accent4 5" xfId="183"/>
    <cellStyle name="20% - Accent4 5 2" xfId="184"/>
    <cellStyle name="20% - Accent4 6" xfId="185"/>
    <cellStyle name="20% - Accent4 6 2" xfId="186"/>
    <cellStyle name="20% - Accent4 7" xfId="187"/>
    <cellStyle name="20% - Accent4 8" xfId="188"/>
    <cellStyle name="20% - Accent4 9" xfId="189"/>
    <cellStyle name="20% - Accent5 10" xfId="190"/>
    <cellStyle name="20% - Accent5 11" xfId="191"/>
    <cellStyle name="20% - Accent5 12" xfId="192"/>
    <cellStyle name="20% - Accent5 2" xfId="6"/>
    <cellStyle name="20% - Accent5 2 2" xfId="193"/>
    <cellStyle name="20% - Accent5 2 2 2" xfId="194"/>
    <cellStyle name="20% - Accent5 2 3" xfId="195"/>
    <cellStyle name="20% - Accent5 2 3 2" xfId="196"/>
    <cellStyle name="20% - Accent5 2 4" xfId="197"/>
    <cellStyle name="20% - Accent5 2 5" xfId="198"/>
    <cellStyle name="20% - Accent5 2 6" xfId="199"/>
    <cellStyle name="20% - Accent5 2 7" xfId="200"/>
    <cellStyle name="20% - Accent5 2 8" xfId="201"/>
    <cellStyle name="20% - Accent5 2 9" xfId="202"/>
    <cellStyle name="20% - Accent5 3" xfId="203"/>
    <cellStyle name="20% - Accent5 3 2" xfId="204"/>
    <cellStyle name="20% - Accent5 3 2 2" xfId="205"/>
    <cellStyle name="20% - Accent5 3 3" xfId="206"/>
    <cellStyle name="20% - Accent5 3 3 2" xfId="207"/>
    <cellStyle name="20% - Accent5 3 4" xfId="208"/>
    <cellStyle name="20% - Accent5 3 5" xfId="209"/>
    <cellStyle name="20% - Accent5 3 6" xfId="210"/>
    <cellStyle name="20% - Accent5 3 7" xfId="211"/>
    <cellStyle name="20% - Accent5 3 8" xfId="212"/>
    <cellStyle name="20% - Accent5 3 9" xfId="213"/>
    <cellStyle name="20% - Accent5 4" xfId="214"/>
    <cellStyle name="20% - Accent5 4 2" xfId="215"/>
    <cellStyle name="20% - Accent5 5" xfId="216"/>
    <cellStyle name="20% - Accent5 5 2" xfId="217"/>
    <cellStyle name="20% - Accent5 6" xfId="218"/>
    <cellStyle name="20% - Accent5 6 2" xfId="219"/>
    <cellStyle name="20% - Accent5 7" xfId="220"/>
    <cellStyle name="20% - Accent5 8" xfId="221"/>
    <cellStyle name="20% - Accent5 9" xfId="222"/>
    <cellStyle name="20% - Accent6 10" xfId="223"/>
    <cellStyle name="20% - Accent6 11" xfId="224"/>
    <cellStyle name="20% - Accent6 12" xfId="225"/>
    <cellStyle name="20% - Accent6 2" xfId="7"/>
    <cellStyle name="20% - Accent6 2 2" xfId="226"/>
    <cellStyle name="20% - Accent6 2 2 2" xfId="227"/>
    <cellStyle name="20% - Accent6 2 3" xfId="228"/>
    <cellStyle name="20% - Accent6 2 3 2" xfId="229"/>
    <cellStyle name="20% - Accent6 2 4" xfId="230"/>
    <cellStyle name="20% - Accent6 2 5" xfId="231"/>
    <cellStyle name="20% - Accent6 2 6" xfId="232"/>
    <cellStyle name="20% - Accent6 2 7" xfId="233"/>
    <cellStyle name="20% - Accent6 2 8" xfId="234"/>
    <cellStyle name="20% - Accent6 2 9" xfId="235"/>
    <cellStyle name="20% - Accent6 3" xfId="236"/>
    <cellStyle name="20% - Accent6 3 2" xfId="237"/>
    <cellStyle name="20% - Accent6 3 2 2" xfId="238"/>
    <cellStyle name="20% - Accent6 3 3" xfId="239"/>
    <cellStyle name="20% - Accent6 3 3 2" xfId="240"/>
    <cellStyle name="20% - Accent6 3 4" xfId="241"/>
    <cellStyle name="20% - Accent6 3 5" xfId="242"/>
    <cellStyle name="20% - Accent6 3 6" xfId="243"/>
    <cellStyle name="20% - Accent6 3 7" xfId="244"/>
    <cellStyle name="20% - Accent6 3 8" xfId="245"/>
    <cellStyle name="20% - Accent6 3 9" xfId="246"/>
    <cellStyle name="20% - Accent6 4" xfId="247"/>
    <cellStyle name="20% - Accent6 4 2" xfId="248"/>
    <cellStyle name="20% - Accent6 5" xfId="249"/>
    <cellStyle name="20% - Accent6 5 2" xfId="250"/>
    <cellStyle name="20% - Accent6 6" xfId="251"/>
    <cellStyle name="20% - Accent6 6 2" xfId="252"/>
    <cellStyle name="20% - Accent6 7" xfId="253"/>
    <cellStyle name="20% - Accent6 8" xfId="254"/>
    <cellStyle name="20% - Accent6 9" xfId="255"/>
    <cellStyle name="40% - Accent1 10" xfId="256"/>
    <cellStyle name="40% - Accent1 11" xfId="257"/>
    <cellStyle name="40% - Accent1 12" xfId="258"/>
    <cellStyle name="40% - Accent1 2" xfId="8"/>
    <cellStyle name="40% - Accent1 2 2" xfId="259"/>
    <cellStyle name="40% - Accent1 2 2 2" xfId="260"/>
    <cellStyle name="40% - Accent1 2 3" xfId="261"/>
    <cellStyle name="40% - Accent1 2 3 2" xfId="262"/>
    <cellStyle name="40% - Accent1 2 4" xfId="263"/>
    <cellStyle name="40% - Accent1 2 5" xfId="264"/>
    <cellStyle name="40% - Accent1 2 6" xfId="265"/>
    <cellStyle name="40% - Accent1 2 7" xfId="266"/>
    <cellStyle name="40% - Accent1 2 8" xfId="267"/>
    <cellStyle name="40% - Accent1 2 9" xfId="268"/>
    <cellStyle name="40% - Accent1 3" xfId="269"/>
    <cellStyle name="40% - Accent1 3 2" xfId="270"/>
    <cellStyle name="40% - Accent1 3 2 2" xfId="271"/>
    <cellStyle name="40% - Accent1 3 3" xfId="272"/>
    <cellStyle name="40% - Accent1 3 3 2" xfId="273"/>
    <cellStyle name="40% - Accent1 3 4" xfId="274"/>
    <cellStyle name="40% - Accent1 3 5" xfId="275"/>
    <cellStyle name="40% - Accent1 3 6" xfId="276"/>
    <cellStyle name="40% - Accent1 3 7" xfId="277"/>
    <cellStyle name="40% - Accent1 3 8" xfId="278"/>
    <cellStyle name="40% - Accent1 3 9" xfId="279"/>
    <cellStyle name="40% - Accent1 4" xfId="280"/>
    <cellStyle name="40% - Accent1 4 2" xfId="281"/>
    <cellStyle name="40% - Accent1 5" xfId="282"/>
    <cellStyle name="40% - Accent1 5 2" xfId="283"/>
    <cellStyle name="40% - Accent1 6" xfId="284"/>
    <cellStyle name="40% - Accent1 6 2" xfId="285"/>
    <cellStyle name="40% - Accent1 7" xfId="286"/>
    <cellStyle name="40% - Accent1 8" xfId="287"/>
    <cellStyle name="40% - Accent1 9" xfId="288"/>
    <cellStyle name="40% - Accent2 10" xfId="289"/>
    <cellStyle name="40% - Accent2 11" xfId="290"/>
    <cellStyle name="40% - Accent2 12" xfId="291"/>
    <cellStyle name="40% - Accent2 2" xfId="9"/>
    <cellStyle name="40% - Accent2 2 2" xfId="292"/>
    <cellStyle name="40% - Accent2 2 2 2" xfId="293"/>
    <cellStyle name="40% - Accent2 2 3" xfId="294"/>
    <cellStyle name="40% - Accent2 2 3 2" xfId="295"/>
    <cellStyle name="40% - Accent2 2 4" xfId="296"/>
    <cellStyle name="40% - Accent2 2 5" xfId="297"/>
    <cellStyle name="40% - Accent2 2 6" xfId="298"/>
    <cellStyle name="40% - Accent2 2 7" xfId="299"/>
    <cellStyle name="40% - Accent2 2 8" xfId="300"/>
    <cellStyle name="40% - Accent2 2 9" xfId="301"/>
    <cellStyle name="40% - Accent2 3" xfId="302"/>
    <cellStyle name="40% - Accent2 3 2" xfId="303"/>
    <cellStyle name="40% - Accent2 3 2 2" xfId="304"/>
    <cellStyle name="40% - Accent2 3 3" xfId="305"/>
    <cellStyle name="40% - Accent2 3 3 2" xfId="306"/>
    <cellStyle name="40% - Accent2 3 4" xfId="307"/>
    <cellStyle name="40% - Accent2 3 5" xfId="308"/>
    <cellStyle name="40% - Accent2 3 6" xfId="309"/>
    <cellStyle name="40% - Accent2 3 7" xfId="310"/>
    <cellStyle name="40% - Accent2 3 8" xfId="311"/>
    <cellStyle name="40% - Accent2 3 9" xfId="312"/>
    <cellStyle name="40% - Accent2 4" xfId="313"/>
    <cellStyle name="40% - Accent2 4 2" xfId="314"/>
    <cellStyle name="40% - Accent2 5" xfId="315"/>
    <cellStyle name="40% - Accent2 5 2" xfId="316"/>
    <cellStyle name="40% - Accent2 6" xfId="317"/>
    <cellStyle name="40% - Accent2 6 2" xfId="318"/>
    <cellStyle name="40% - Accent2 7" xfId="319"/>
    <cellStyle name="40% - Accent2 8" xfId="320"/>
    <cellStyle name="40% - Accent2 9" xfId="321"/>
    <cellStyle name="40% - Accent3 10" xfId="322"/>
    <cellStyle name="40% - Accent3 11" xfId="323"/>
    <cellStyle name="40% - Accent3 12" xfId="324"/>
    <cellStyle name="40% - Accent3 2" xfId="10"/>
    <cellStyle name="40% - Accent3 2 2" xfId="325"/>
    <cellStyle name="40% - Accent3 2 2 2" xfId="326"/>
    <cellStyle name="40% - Accent3 2 3" xfId="327"/>
    <cellStyle name="40% - Accent3 2 3 2" xfId="328"/>
    <cellStyle name="40% - Accent3 2 4" xfId="329"/>
    <cellStyle name="40% - Accent3 2 5" xfId="330"/>
    <cellStyle name="40% - Accent3 2 6" xfId="331"/>
    <cellStyle name="40% - Accent3 2 7" xfId="332"/>
    <cellStyle name="40% - Accent3 2 8" xfId="333"/>
    <cellStyle name="40% - Accent3 2 9" xfId="334"/>
    <cellStyle name="40% - Accent3 3" xfId="335"/>
    <cellStyle name="40% - Accent3 3 2" xfId="336"/>
    <cellStyle name="40% - Accent3 3 2 2" xfId="337"/>
    <cellStyle name="40% - Accent3 3 3" xfId="338"/>
    <cellStyle name="40% - Accent3 3 3 2" xfId="339"/>
    <cellStyle name="40% - Accent3 3 4" xfId="340"/>
    <cellStyle name="40% - Accent3 3 5" xfId="341"/>
    <cellStyle name="40% - Accent3 3 6" xfId="342"/>
    <cellStyle name="40% - Accent3 3 7" xfId="343"/>
    <cellStyle name="40% - Accent3 3 8" xfId="344"/>
    <cellStyle name="40% - Accent3 3 9" xfId="345"/>
    <cellStyle name="40% - Accent3 4" xfId="346"/>
    <cellStyle name="40% - Accent3 4 2" xfId="347"/>
    <cellStyle name="40% - Accent3 5" xfId="348"/>
    <cellStyle name="40% - Accent3 5 2" xfId="349"/>
    <cellStyle name="40% - Accent3 6" xfId="350"/>
    <cellStyle name="40% - Accent3 6 2" xfId="351"/>
    <cellStyle name="40% - Accent3 7" xfId="352"/>
    <cellStyle name="40% - Accent3 8" xfId="353"/>
    <cellStyle name="40% - Accent3 9" xfId="354"/>
    <cellStyle name="40% - Accent4 10" xfId="355"/>
    <cellStyle name="40% - Accent4 11" xfId="356"/>
    <cellStyle name="40% - Accent4 12" xfId="357"/>
    <cellStyle name="40% - Accent4 2" xfId="11"/>
    <cellStyle name="40% - Accent4 2 2" xfId="358"/>
    <cellStyle name="40% - Accent4 2 2 2" xfId="359"/>
    <cellStyle name="40% - Accent4 2 3" xfId="360"/>
    <cellStyle name="40% - Accent4 2 3 2" xfId="361"/>
    <cellStyle name="40% - Accent4 2 4" xfId="362"/>
    <cellStyle name="40% - Accent4 2 5" xfId="363"/>
    <cellStyle name="40% - Accent4 2 6" xfId="364"/>
    <cellStyle name="40% - Accent4 2 7" xfId="365"/>
    <cellStyle name="40% - Accent4 2 8" xfId="366"/>
    <cellStyle name="40% - Accent4 2 9" xfId="367"/>
    <cellStyle name="40% - Accent4 3" xfId="368"/>
    <cellStyle name="40% - Accent4 3 2" xfId="369"/>
    <cellStyle name="40% - Accent4 3 2 2" xfId="370"/>
    <cellStyle name="40% - Accent4 3 3" xfId="371"/>
    <cellStyle name="40% - Accent4 3 3 2" xfId="372"/>
    <cellStyle name="40% - Accent4 3 4" xfId="373"/>
    <cellStyle name="40% - Accent4 3 5" xfId="374"/>
    <cellStyle name="40% - Accent4 3 6" xfId="375"/>
    <cellStyle name="40% - Accent4 3 7" xfId="376"/>
    <cellStyle name="40% - Accent4 3 8" xfId="377"/>
    <cellStyle name="40% - Accent4 3 9" xfId="378"/>
    <cellStyle name="40% - Accent4 4" xfId="379"/>
    <cellStyle name="40% - Accent4 4 2" xfId="380"/>
    <cellStyle name="40% - Accent4 5" xfId="381"/>
    <cellStyle name="40% - Accent4 5 2" xfId="382"/>
    <cellStyle name="40% - Accent4 6" xfId="383"/>
    <cellStyle name="40% - Accent4 6 2" xfId="384"/>
    <cellStyle name="40% - Accent4 7" xfId="385"/>
    <cellStyle name="40% - Accent4 8" xfId="386"/>
    <cellStyle name="40% - Accent4 9" xfId="387"/>
    <cellStyle name="40% - Accent5 10" xfId="388"/>
    <cellStyle name="40% - Accent5 11" xfId="389"/>
    <cellStyle name="40% - Accent5 12" xfId="390"/>
    <cellStyle name="40% - Accent5 2" xfId="12"/>
    <cellStyle name="40% - Accent5 2 2" xfId="391"/>
    <cellStyle name="40% - Accent5 2 2 2" xfId="392"/>
    <cellStyle name="40% - Accent5 2 3" xfId="393"/>
    <cellStyle name="40% - Accent5 2 3 2" xfId="394"/>
    <cellStyle name="40% - Accent5 2 4" xfId="395"/>
    <cellStyle name="40% - Accent5 2 5" xfId="396"/>
    <cellStyle name="40% - Accent5 2 6" xfId="397"/>
    <cellStyle name="40% - Accent5 2 7" xfId="398"/>
    <cellStyle name="40% - Accent5 2 8" xfId="399"/>
    <cellStyle name="40% - Accent5 2 9" xfId="400"/>
    <cellStyle name="40% - Accent5 3" xfId="401"/>
    <cellStyle name="40% - Accent5 3 2" xfId="402"/>
    <cellStyle name="40% - Accent5 3 2 2" xfId="403"/>
    <cellStyle name="40% - Accent5 3 3" xfId="404"/>
    <cellStyle name="40% - Accent5 3 3 2" xfId="405"/>
    <cellStyle name="40% - Accent5 3 4" xfId="406"/>
    <cellStyle name="40% - Accent5 3 5" xfId="407"/>
    <cellStyle name="40% - Accent5 3 6" xfId="408"/>
    <cellStyle name="40% - Accent5 3 7" xfId="409"/>
    <cellStyle name="40% - Accent5 3 8" xfId="410"/>
    <cellStyle name="40% - Accent5 3 9" xfId="411"/>
    <cellStyle name="40% - Accent5 4" xfId="412"/>
    <cellStyle name="40% - Accent5 4 2" xfId="413"/>
    <cellStyle name="40% - Accent5 5" xfId="414"/>
    <cellStyle name="40% - Accent5 5 2" xfId="415"/>
    <cellStyle name="40% - Accent5 6" xfId="416"/>
    <cellStyle name="40% - Accent5 6 2" xfId="417"/>
    <cellStyle name="40% - Accent5 7" xfId="418"/>
    <cellStyle name="40% - Accent5 8" xfId="419"/>
    <cellStyle name="40% - Accent5 9" xfId="420"/>
    <cellStyle name="40% - Accent6 10" xfId="421"/>
    <cellStyle name="40% - Accent6 11" xfId="422"/>
    <cellStyle name="40% - Accent6 12" xfId="423"/>
    <cellStyle name="40% - Accent6 2" xfId="13"/>
    <cellStyle name="40% - Accent6 2 2" xfId="424"/>
    <cellStyle name="40% - Accent6 2 2 2" xfId="425"/>
    <cellStyle name="40% - Accent6 2 3" xfId="426"/>
    <cellStyle name="40% - Accent6 2 3 2" xfId="427"/>
    <cellStyle name="40% - Accent6 2 4" xfId="428"/>
    <cellStyle name="40% - Accent6 2 5" xfId="429"/>
    <cellStyle name="40% - Accent6 2 6" xfId="430"/>
    <cellStyle name="40% - Accent6 2 7" xfId="431"/>
    <cellStyle name="40% - Accent6 2 8" xfId="432"/>
    <cellStyle name="40% - Accent6 2 9" xfId="433"/>
    <cellStyle name="40% - Accent6 3" xfId="434"/>
    <cellStyle name="40% - Accent6 3 2" xfId="435"/>
    <cellStyle name="40% - Accent6 3 2 2" xfId="436"/>
    <cellStyle name="40% - Accent6 3 3" xfId="437"/>
    <cellStyle name="40% - Accent6 3 3 2" xfId="438"/>
    <cellStyle name="40% - Accent6 3 4" xfId="439"/>
    <cellStyle name="40% - Accent6 3 5" xfId="440"/>
    <cellStyle name="40% - Accent6 3 6" xfId="441"/>
    <cellStyle name="40% - Accent6 3 7" xfId="442"/>
    <cellStyle name="40% - Accent6 3 8" xfId="443"/>
    <cellStyle name="40% - Accent6 3 9" xfId="444"/>
    <cellStyle name="40% - Accent6 4" xfId="445"/>
    <cellStyle name="40% - Accent6 4 2" xfId="446"/>
    <cellStyle name="40% - Accent6 5" xfId="447"/>
    <cellStyle name="40% - Accent6 5 2" xfId="448"/>
    <cellStyle name="40% - Accent6 6" xfId="449"/>
    <cellStyle name="40% - Accent6 6 2" xfId="450"/>
    <cellStyle name="40% - Accent6 7" xfId="451"/>
    <cellStyle name="40% - Accent6 8" xfId="452"/>
    <cellStyle name="40% - Accent6 9" xfId="45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Bad 3" xfId="27"/>
    <cellStyle name="Calculation 2" xfId="28"/>
    <cellStyle name="Check Cell 2" xfId="29"/>
    <cellStyle name="Comma 2" xfId="454"/>
    <cellStyle name="Comma 2 2" xfId="455"/>
    <cellStyle name="Comma 2 3" xfId="456"/>
    <cellStyle name="Comma 2 4" xfId="457"/>
    <cellStyle name="Comma 2 5" xfId="458"/>
    <cellStyle name="Comma 2 6" xfId="459"/>
    <cellStyle name="Comma 2 7" xfId="460"/>
    <cellStyle name="Comma 3" xfId="461"/>
    <cellStyle name="Comma 3 2" xfId="462"/>
    <cellStyle name="Comma 4" xfId="463"/>
    <cellStyle name="Comma 5" xfId="464"/>
    <cellStyle name="Comma 6" xfId="465"/>
    <cellStyle name="Currency 2" xfId="466"/>
    <cellStyle name="Currency 2 2" xfId="467"/>
    <cellStyle name="Currency 3" xfId="468"/>
    <cellStyle name="Default" xfId="469"/>
    <cellStyle name="Explanatory Text 2" xfId="30"/>
    <cellStyle name="Good 2" xfId="31"/>
    <cellStyle name="Heading 1 2" xfId="32"/>
    <cellStyle name="Heading 2 2" xfId="33"/>
    <cellStyle name="Heading 3 2" xfId="34"/>
    <cellStyle name="Heading 4 2" xfId="35"/>
    <cellStyle name="Hyperlink" xfId="55"/>
    <cellStyle name="Hyperlink 2" xfId="470"/>
    <cellStyle name="Hyperlink 3" xfId="471"/>
    <cellStyle name="Input 2" xfId="36"/>
    <cellStyle name="Linked Cell 2" xfId="37"/>
    <cellStyle name="Neutral 2" xfId="38"/>
    <cellStyle name="Normal 10" xfId="472"/>
    <cellStyle name="Normal 10 2" xfId="473"/>
    <cellStyle name="Normal 10 3" xfId="474"/>
    <cellStyle name="Normal 11" xfId="475"/>
    <cellStyle name="Normal 11 2" xfId="476"/>
    <cellStyle name="Normal 12" xfId="477"/>
    <cellStyle name="Normal 12 2" xfId="478"/>
    <cellStyle name="Normal 13" xfId="479"/>
    <cellStyle name="Normal 13 2" xfId="480"/>
    <cellStyle name="Normal 14" xfId="481"/>
    <cellStyle name="Normal 15" xfId="482"/>
    <cellStyle name="Normal 16" xfId="483"/>
    <cellStyle name="Normal 17" xfId="484"/>
    <cellStyle name="Normal 18" xfId="485"/>
    <cellStyle name="Normal 19" xfId="486"/>
    <cellStyle name="Normal 2" xfId="39"/>
    <cellStyle name="Normal 2 10" xfId="487"/>
    <cellStyle name="Normal 2 11" xfId="488"/>
    <cellStyle name="Normal 2 12" xfId="489"/>
    <cellStyle name="Normal 2 13" xfId="490"/>
    <cellStyle name="Normal 2 2" xfId="40"/>
    <cellStyle name="Normal 2 2 2" xfId="491"/>
    <cellStyle name="Normal 2 2 3" xfId="492"/>
    <cellStyle name="Normal 2 3" xfId="493"/>
    <cellStyle name="Normal 2 3 2" xfId="494"/>
    <cellStyle name="Normal 2 3 2 2" xfId="495"/>
    <cellStyle name="Normal 2 3 2 3" xfId="496"/>
    <cellStyle name="Normal 2 3 3" xfId="497"/>
    <cellStyle name="Normal 2 3 4" xfId="498"/>
    <cellStyle name="Normal 2 4" xfId="499"/>
    <cellStyle name="Normal 2 4 2" xfId="500"/>
    <cellStyle name="Normal 2 4 3" xfId="501"/>
    <cellStyle name="Normal 2 5" xfId="502"/>
    <cellStyle name="Normal 2 5 2" xfId="503"/>
    <cellStyle name="Normal 2 6" xfId="504"/>
    <cellStyle name="Normal 2 6 2" xfId="505"/>
    <cellStyle name="Normal 2 7" xfId="506"/>
    <cellStyle name="Normal 2 7 2" xfId="507"/>
    <cellStyle name="Normal 2 8" xfId="508"/>
    <cellStyle name="Normal 2 9" xfId="509"/>
    <cellStyle name="Normal 20" xfId="510"/>
    <cellStyle name="Normal 21" xfId="511"/>
    <cellStyle name="Normal 21 2" xfId="512"/>
    <cellStyle name="Normal 21 3" xfId="513"/>
    <cellStyle name="Normal 22" xfId="514"/>
    <cellStyle name="Normal 23" xfId="515"/>
    <cellStyle name="Normal 3" xfId="41"/>
    <cellStyle name="Normal 3 10" xfId="516"/>
    <cellStyle name="Normal 3 11" xfId="517"/>
    <cellStyle name="Normal 3 12" xfId="518"/>
    <cellStyle name="Normal 3 13" xfId="519"/>
    <cellStyle name="Normal 3 2" xfId="520"/>
    <cellStyle name="Normal 3 2 2" xfId="521"/>
    <cellStyle name="Normal 3 2 2 2" xfId="522"/>
    <cellStyle name="Normal 3 2 2 3" xfId="523"/>
    <cellStyle name="Normal 3 2 3" xfId="524"/>
    <cellStyle name="Normal 3 2 4" xfId="525"/>
    <cellStyle name="Normal 3 3" xfId="526"/>
    <cellStyle name="Normal 3 3 2" xfId="527"/>
    <cellStyle name="Normal 3 3 3" xfId="528"/>
    <cellStyle name="Normal 3 4" xfId="529"/>
    <cellStyle name="Normal 3 4 2" xfId="530"/>
    <cellStyle name="Normal 3 5" xfId="531"/>
    <cellStyle name="Normal 3 5 2" xfId="532"/>
    <cellStyle name="Normal 3 6" xfId="533"/>
    <cellStyle name="Normal 3 7" xfId="534"/>
    <cellStyle name="Normal 3 7 2" xfId="535"/>
    <cellStyle name="Normal 3 8" xfId="536"/>
    <cellStyle name="Normal 3 9" xfId="537"/>
    <cellStyle name="Normal 3_Quantum Prelim DS Values 6-28-12 with formulas" xfId="538"/>
    <cellStyle name="Normal 4" xfId="42"/>
    <cellStyle name="Normal 4 10" xfId="539"/>
    <cellStyle name="Normal 4 11" xfId="540"/>
    <cellStyle name="Normal 4 12" xfId="541"/>
    <cellStyle name="Normal 4 13" xfId="542"/>
    <cellStyle name="Normal 4 2" xfId="543"/>
    <cellStyle name="Normal 4 2 2" xfId="544"/>
    <cellStyle name="Normal 4 2 2 2" xfId="545"/>
    <cellStyle name="Normal 4 2 3" xfId="546"/>
    <cellStyle name="Normal 4 2 3 2" xfId="547"/>
    <cellStyle name="Normal 4 2 4" xfId="548"/>
    <cellStyle name="Normal 4 2 5" xfId="549"/>
    <cellStyle name="Normal 4 2 6" xfId="550"/>
    <cellStyle name="Normal 4 2 7" xfId="551"/>
    <cellStyle name="Normal 4 2 8" xfId="552"/>
    <cellStyle name="Normal 4 2 9" xfId="553"/>
    <cellStyle name="Normal 4 3" xfId="554"/>
    <cellStyle name="Normal 4 3 2" xfId="555"/>
    <cellStyle name="Normal 4 3 2 2" xfId="556"/>
    <cellStyle name="Normal 4 3 3" xfId="557"/>
    <cellStyle name="Normal 4 3 4" xfId="558"/>
    <cellStyle name="Normal 4 3 5" xfId="559"/>
    <cellStyle name="Normal 4 3 6" xfId="560"/>
    <cellStyle name="Normal 4 3 7" xfId="561"/>
    <cellStyle name="Normal 4 3 8" xfId="562"/>
    <cellStyle name="Normal 4 4" xfId="563"/>
    <cellStyle name="Normal 4 4 2" xfId="564"/>
    <cellStyle name="Normal 4 4 2 2" xfId="565"/>
    <cellStyle name="Normal 4 4 3" xfId="566"/>
    <cellStyle name="Normal 4 4 4" xfId="567"/>
    <cellStyle name="Normal 4 4 5" xfId="568"/>
    <cellStyle name="Normal 4 4 6" xfId="569"/>
    <cellStyle name="Normal 4 4 7" xfId="570"/>
    <cellStyle name="Normal 4 4 8" xfId="571"/>
    <cellStyle name="Normal 4 5" xfId="572"/>
    <cellStyle name="Normal 4 5 2" xfId="573"/>
    <cellStyle name="Normal 4 6" xfId="574"/>
    <cellStyle name="Normal 4 6 2" xfId="575"/>
    <cellStyle name="Normal 4 7" xfId="576"/>
    <cellStyle name="Normal 4 7 2" xfId="577"/>
    <cellStyle name="Normal 4 8" xfId="578"/>
    <cellStyle name="Normal 4 9" xfId="579"/>
    <cellStyle name="Normal 5" xfId="43"/>
    <cellStyle name="Normal 5 2" xfId="580"/>
    <cellStyle name="Normal 5 2 2" xfId="581"/>
    <cellStyle name="Normal 5 2 3" xfId="582"/>
    <cellStyle name="Normal 5 2 3 2" xfId="583"/>
    <cellStyle name="Normal 5 2 4" xfId="584"/>
    <cellStyle name="Normal 5 2 5" xfId="585"/>
    <cellStyle name="Normal 5 2 6" xfId="586"/>
    <cellStyle name="Normal 5 2 7" xfId="587"/>
    <cellStyle name="Normal 5 2 8" xfId="588"/>
    <cellStyle name="Normal 5 3" xfId="589"/>
    <cellStyle name="Normal 5 3 2" xfId="590"/>
    <cellStyle name="Normal 5 3 2 2" xfId="591"/>
    <cellStyle name="Normal 5 3 3" xfId="592"/>
    <cellStyle name="Normal 5 3 4" xfId="593"/>
    <cellStyle name="Normal 5 3 5" xfId="594"/>
    <cellStyle name="Normal 5 3 6" xfId="595"/>
    <cellStyle name="Normal 5 3 7" xfId="596"/>
    <cellStyle name="Normal 5 3 8" xfId="597"/>
    <cellStyle name="Normal 5 4" xfId="598"/>
    <cellStyle name="Normal 5 4 2" xfId="599"/>
    <cellStyle name="Normal 5 4 2 2" xfId="600"/>
    <cellStyle name="Normal 5 4 3" xfId="601"/>
    <cellStyle name="Normal 5 4 4" xfId="602"/>
    <cellStyle name="Normal 5 4 5" xfId="603"/>
    <cellStyle name="Normal 5 4 6" xfId="604"/>
    <cellStyle name="Normal 5 4 7" xfId="605"/>
    <cellStyle name="Normal 5 4 8" xfId="606"/>
    <cellStyle name="Normal 5 5" xfId="607"/>
    <cellStyle name="Normal 5 5 2" xfId="608"/>
    <cellStyle name="Normal 5 5 3" xfId="609"/>
    <cellStyle name="Normal 5 6" xfId="610"/>
    <cellStyle name="Normal 5 6 2" xfId="611"/>
    <cellStyle name="Normal 5 7" xfId="612"/>
    <cellStyle name="Normal 5 7 2" xfId="613"/>
    <cellStyle name="Normal 5 8" xfId="614"/>
    <cellStyle name="Normal 6" xfId="56"/>
    <cellStyle name="Normal 6 10" xfId="615"/>
    <cellStyle name="Normal 6 2" xfId="616"/>
    <cellStyle name="Normal 6 2 2" xfId="617"/>
    <cellStyle name="Normal 6 2 3" xfId="618"/>
    <cellStyle name="Normal 6 3" xfId="619"/>
    <cellStyle name="Normal 6 3 2" xfId="620"/>
    <cellStyle name="Normal 6 3 3" xfId="621"/>
    <cellStyle name="Normal 6 3 4" xfId="622"/>
    <cellStyle name="Normal 6 4" xfId="623"/>
    <cellStyle name="Normal 6 5" xfId="624"/>
    <cellStyle name="Normal 6 6" xfId="625"/>
    <cellStyle name="Normal 6 7" xfId="626"/>
    <cellStyle name="Normal 6 8" xfId="627"/>
    <cellStyle name="Normal 6 9" xfId="628"/>
    <cellStyle name="Normal 7" xfId="57"/>
    <cellStyle name="Normal 7 2" xfId="629"/>
    <cellStyle name="Normal 7 3" xfId="630"/>
    <cellStyle name="Normal 7 4" xfId="631"/>
    <cellStyle name="Normal 7 5" xfId="632"/>
    <cellStyle name="Normal 7 6" xfId="633"/>
    <cellStyle name="Normal 7 7" xfId="634"/>
    <cellStyle name="Normal 8" xfId="635"/>
    <cellStyle name="Normal 8 2" xfId="636"/>
    <cellStyle name="Normal 9" xfId="637"/>
    <cellStyle name="Normal 9 2" xfId="638"/>
    <cellStyle name="Normal 9 3" xfId="639"/>
    <cellStyle name="Note 10" xfId="640"/>
    <cellStyle name="Note 2" xfId="44"/>
    <cellStyle name="Note 2 10" xfId="641"/>
    <cellStyle name="Note 2 2" xfId="642"/>
    <cellStyle name="Note 2 2 2" xfId="643"/>
    <cellStyle name="Note 2 2 3" xfId="644"/>
    <cellStyle name="Note 2 3" xfId="645"/>
    <cellStyle name="Note 2 4" xfId="646"/>
    <cellStyle name="Note 2 4 2" xfId="647"/>
    <cellStyle name="Note 2 5" xfId="648"/>
    <cellStyle name="Note 2 6" xfId="649"/>
    <cellStyle name="Note 2 7" xfId="650"/>
    <cellStyle name="Note 2 8" xfId="651"/>
    <cellStyle name="Note 2 9" xfId="652"/>
    <cellStyle name="Note 3" xfId="45"/>
    <cellStyle name="Note 3 2" xfId="653"/>
    <cellStyle name="Note 3 2 2" xfId="654"/>
    <cellStyle name="Note 3 3" xfId="655"/>
    <cellStyle name="Note 3 3 2" xfId="656"/>
    <cellStyle name="Note 3 4" xfId="657"/>
    <cellStyle name="Note 3 5" xfId="658"/>
    <cellStyle name="Note 3 6" xfId="659"/>
    <cellStyle name="Note 3 7" xfId="660"/>
    <cellStyle name="Note 3 8" xfId="661"/>
    <cellStyle name="Note 3 9" xfId="662"/>
    <cellStyle name="Note 4" xfId="663"/>
    <cellStyle name="Note 4 2" xfId="664"/>
    <cellStyle name="Note 4 2 2" xfId="665"/>
    <cellStyle name="Note 4 3" xfId="666"/>
    <cellStyle name="Note 4 3 2" xfId="667"/>
    <cellStyle name="Note 4 4" xfId="668"/>
    <cellStyle name="Note 4 5" xfId="669"/>
    <cellStyle name="Note 4 6" xfId="670"/>
    <cellStyle name="Note 4 7" xfId="671"/>
    <cellStyle name="Note 4 8" xfId="672"/>
    <cellStyle name="Note 4 9" xfId="673"/>
    <cellStyle name="Note 5" xfId="674"/>
    <cellStyle name="Note 5 2" xfId="675"/>
    <cellStyle name="Note 6" xfId="676"/>
    <cellStyle name="Note 7" xfId="677"/>
    <cellStyle name="Note 8" xfId="678"/>
    <cellStyle name="Note 9" xfId="679"/>
    <cellStyle name="Output 2" xfId="46"/>
    <cellStyle name="Percent 10" xfId="680"/>
    <cellStyle name="Percent 11" xfId="681"/>
    <cellStyle name="Percent 12" xfId="682"/>
    <cellStyle name="Percent 13" xfId="683"/>
    <cellStyle name="Percent 14" xfId="684"/>
    <cellStyle name="Percent 15" xfId="685"/>
    <cellStyle name="Percent 16" xfId="686"/>
    <cellStyle name="Percent 2" xfId="47"/>
    <cellStyle name="Percent 2 10" xfId="687"/>
    <cellStyle name="Percent 2 2" xfId="688"/>
    <cellStyle name="Percent 2 2 2" xfId="689"/>
    <cellStyle name="Percent 2 2 3" xfId="690"/>
    <cellStyle name="Percent 2 3" xfId="691"/>
    <cellStyle name="Percent 2 4" xfId="692"/>
    <cellStyle name="Percent 2 4 2" xfId="693"/>
    <cellStyle name="Percent 2 5" xfId="694"/>
    <cellStyle name="Percent 2 6" xfId="695"/>
    <cellStyle name="Percent 2 7" xfId="696"/>
    <cellStyle name="Percent 2 8" xfId="697"/>
    <cellStyle name="Percent 2 9" xfId="698"/>
    <cellStyle name="Percent 3" xfId="699"/>
    <cellStyle name="Percent 3 10" xfId="700"/>
    <cellStyle name="Percent 3 2" xfId="701"/>
    <cellStyle name="Percent 3 2 2" xfId="702"/>
    <cellStyle name="Percent 3 2 3" xfId="703"/>
    <cellStyle name="Percent 3 3" xfId="704"/>
    <cellStyle name="Percent 3 4" xfId="705"/>
    <cellStyle name="Percent 3 4 2" xfId="706"/>
    <cellStyle name="Percent 3 5" xfId="707"/>
    <cellStyle name="Percent 3 6" xfId="708"/>
    <cellStyle name="Percent 3 7" xfId="709"/>
    <cellStyle name="Percent 3 8" xfId="710"/>
    <cellStyle name="Percent 3 9" xfId="711"/>
    <cellStyle name="Percent 4" xfId="712"/>
    <cellStyle name="Percent 4 10" xfId="713"/>
    <cellStyle name="Percent 4 2" xfId="714"/>
    <cellStyle name="Percent 4 2 2" xfId="715"/>
    <cellStyle name="Percent 4 3" xfId="716"/>
    <cellStyle name="Percent 4 3 2" xfId="717"/>
    <cellStyle name="Percent 4 4" xfId="718"/>
    <cellStyle name="Percent 4 4 2" xfId="719"/>
    <cellStyle name="Percent 4 5" xfId="720"/>
    <cellStyle name="Percent 4 6" xfId="721"/>
    <cellStyle name="Percent 4 7" xfId="722"/>
    <cellStyle name="Percent 4 8" xfId="723"/>
    <cellStyle name="Percent 4 9" xfId="724"/>
    <cellStyle name="Percent 5" xfId="725"/>
    <cellStyle name="Percent 5 2" xfId="726"/>
    <cellStyle name="Percent 5 3" xfId="727"/>
    <cellStyle name="Percent 5 4" xfId="728"/>
    <cellStyle name="Percent 5 5" xfId="729"/>
    <cellStyle name="Percent 5 6" xfId="730"/>
    <cellStyle name="Percent 5 7" xfId="731"/>
    <cellStyle name="Percent 6" xfId="732"/>
    <cellStyle name="Percent 6 2" xfId="733"/>
    <cellStyle name="Percent 7" xfId="734"/>
    <cellStyle name="Percent 7 2" xfId="735"/>
    <cellStyle name="Percent 8" xfId="736"/>
    <cellStyle name="Percent 8 2" xfId="737"/>
    <cellStyle name="Percent 9" xfId="738"/>
    <cellStyle name="Style 1" xfId="739"/>
    <cellStyle name="Title 2" xfId="48"/>
    <cellStyle name="Total 2" xfId="49"/>
    <cellStyle name="Warning Text 2" xfId="50"/>
    <cellStyle name="一般 2" xfId="51"/>
    <cellStyle name="一般 3" xfId="52"/>
    <cellStyle name="一般 4" xfId="740"/>
    <cellStyle name="千位分隔" xfId="1" builtinId="3"/>
    <cellStyle name="百分比 2" xfId="54"/>
    <cellStyle name="百分比 3" xfId="741"/>
    <cellStyle name="常规" xfId="0" builtinId="0"/>
    <cellStyle name="常规 2" xfId="53"/>
  </cellStyles>
  <dxfs count="58">
    <dxf>
      <alignment horizontal="center" vertical="bottom" textRotation="0" wrapText="0"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medium">
          <color indexed="64"/>
        </left>
        <right/>
        <top style="thin">
          <color theme="4" tint="0.39997558519241921"/>
        </top>
        <bottom style="thin">
          <color theme="4" tint="0.39997558519241921"/>
        </bottom>
      </border>
    </dxf>
    <dxf>
      <border diagonalUp="0" diagonalDown="0">
        <left style="medium">
          <color indexed="64"/>
        </left>
        <right style="medium">
          <color indexed="64"/>
        </right>
        <top style="medium">
          <color indexed="64"/>
        </top>
        <bottom style="medium">
          <color indexed="64"/>
        </bottom>
      </border>
    </dxf>
    <dxf>
      <alignment horizontal="center" vertical="bottom"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numFmt numFmtId="1" formatCode="0"/>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center" vertical="bottom" textRotation="0" wrapText="0" indent="0" justifyLastLine="0" shrinkToFit="0" readingOrder="0"/>
    </dxf>
    <dxf>
      <font>
        <strike val="0"/>
        <outline val="0"/>
        <shadow val="0"/>
        <u val="none"/>
        <vertAlign val="baseline"/>
        <sz val="11"/>
        <name val="Calibri"/>
        <scheme val="minor"/>
      </font>
      <numFmt numFmtId="0" formatCode="General"/>
      <alignment horizontal="center"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center"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strike val="0"/>
        <outline val="0"/>
        <shadow val="0"/>
        <u val="none"/>
        <vertAlign val="baseline"/>
        <sz val="11"/>
        <name val="Calibri"/>
        <scheme val="minor"/>
      </font>
      <alignment horizontal="center" textRotation="0" wrapText="0" indent="0" justifyLastLine="0" shrinkToFit="0" readingOrder="0"/>
    </dxf>
    <dxf>
      <font>
        <b/>
        <i val="0"/>
        <strike val="0"/>
        <condense val="0"/>
        <extend val="0"/>
        <outline val="0"/>
        <shadow val="0"/>
        <u val="none"/>
        <vertAlign val="baseline"/>
        <sz val="11"/>
        <color theme="0"/>
        <name val="Calibri"/>
        <scheme val="minor"/>
      </font>
      <fill>
        <patternFill patternType="solid">
          <fgColor indexed="64"/>
          <bgColor rgb="FF0070C0"/>
        </patternFill>
      </fill>
      <alignment horizontal="left" vertical="bottom" textRotation="0" wrapText="0" indent="0" justifyLastLine="0" shrinkToFit="0" readingOrder="0"/>
      <protection locked="0" hidden="0"/>
    </dxf>
  </dxfs>
  <tableStyles count="0" defaultTableStyle="TableStyleMedium2" defaultPivotStyle="PivotStyleLight16"/>
  <colors>
    <mruColors>
      <color rgb="FFB3272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2</xdr:col>
      <xdr:colOff>419101</xdr:colOff>
      <xdr:row>18</xdr:row>
      <xdr:rowOff>57150</xdr:rowOff>
    </xdr:from>
    <xdr:to>
      <xdr:col>9</xdr:col>
      <xdr:colOff>339638</xdr:colOff>
      <xdr:row>22</xdr:row>
      <xdr:rowOff>73914</xdr:rowOff>
    </xdr:to>
    <xdr:pic>
      <xdr:nvPicPr>
        <xdr:cNvPr id="2" name="Picture 1"/>
        <xdr:cNvPicPr>
          <a:picLocks noChangeAspect="1"/>
        </xdr:cNvPicPr>
      </xdr:nvPicPr>
      <xdr:blipFill>
        <a:blip xmlns:r="http://schemas.openxmlformats.org/officeDocument/2006/relationships" r:embed="rId1"/>
        <a:stretch>
          <a:fillRect/>
        </a:stretch>
      </xdr:blipFill>
      <xdr:spPr>
        <a:xfrm>
          <a:off x="838201" y="3867150"/>
          <a:ext cx="4721137" cy="740664"/>
        </a:xfrm>
        <a:prstGeom prst="rect">
          <a:avLst/>
        </a:prstGeom>
      </xdr:spPr>
    </xdr:pic>
    <xdr:clientData/>
  </xdr:twoCellAnchor>
  <xdr:twoCellAnchor editAs="oneCell">
    <xdr:from>
      <xdr:col>4</xdr:col>
      <xdr:colOff>142875</xdr:colOff>
      <xdr:row>25</xdr:row>
      <xdr:rowOff>114300</xdr:rowOff>
    </xdr:from>
    <xdr:to>
      <xdr:col>7</xdr:col>
      <xdr:colOff>675951</xdr:colOff>
      <xdr:row>28</xdr:row>
      <xdr:rowOff>161851</xdr:rowOff>
    </xdr:to>
    <xdr:pic>
      <xdr:nvPicPr>
        <xdr:cNvPr id="3" name="Picture 2"/>
        <xdr:cNvPicPr>
          <a:picLocks noChangeAspect="1"/>
        </xdr:cNvPicPr>
      </xdr:nvPicPr>
      <xdr:blipFill>
        <a:blip xmlns:r="http://schemas.openxmlformats.org/officeDocument/2006/relationships" r:embed="rId2"/>
        <a:stretch>
          <a:fillRect/>
        </a:stretch>
      </xdr:blipFill>
      <xdr:spPr>
        <a:xfrm>
          <a:off x="1933575" y="5200650"/>
          <a:ext cx="2590476" cy="590476"/>
        </a:xfrm>
        <a:prstGeom prst="rect">
          <a:avLst/>
        </a:prstGeom>
      </xdr:spPr>
    </xdr:pic>
    <xdr:clientData/>
  </xdr:twoCellAnchor>
  <xdr:twoCellAnchor editAs="oneCell">
    <xdr:from>
      <xdr:col>2</xdr:col>
      <xdr:colOff>352425</xdr:colOff>
      <xdr:row>32</xdr:row>
      <xdr:rowOff>114300</xdr:rowOff>
    </xdr:from>
    <xdr:to>
      <xdr:col>10</xdr:col>
      <xdr:colOff>746379</xdr:colOff>
      <xdr:row>41</xdr:row>
      <xdr:rowOff>72113</xdr:rowOff>
    </xdr:to>
    <xdr:pic>
      <xdr:nvPicPr>
        <xdr:cNvPr id="4" name="Picture 3"/>
        <xdr:cNvPicPr>
          <a:picLocks noChangeAspect="1"/>
        </xdr:cNvPicPr>
      </xdr:nvPicPr>
      <xdr:blipFill>
        <a:blip xmlns:r="http://schemas.openxmlformats.org/officeDocument/2006/relationships" r:embed="rId3"/>
        <a:stretch>
          <a:fillRect/>
        </a:stretch>
      </xdr:blipFill>
      <xdr:spPr>
        <a:xfrm>
          <a:off x="771525" y="6486525"/>
          <a:ext cx="5632704" cy="1586588"/>
        </a:xfrm>
        <a:prstGeom prst="rect">
          <a:avLst/>
        </a:prstGeom>
      </xdr:spPr>
    </xdr:pic>
    <xdr:clientData/>
  </xdr:twoCellAnchor>
  <xdr:twoCellAnchor editAs="oneCell">
    <xdr:from>
      <xdr:col>4</xdr:col>
      <xdr:colOff>438150</xdr:colOff>
      <xdr:row>47</xdr:row>
      <xdr:rowOff>76200</xdr:rowOff>
    </xdr:from>
    <xdr:to>
      <xdr:col>8</xdr:col>
      <xdr:colOff>85426</xdr:colOff>
      <xdr:row>50</xdr:row>
      <xdr:rowOff>76132</xdr:rowOff>
    </xdr:to>
    <xdr:pic>
      <xdr:nvPicPr>
        <xdr:cNvPr id="5" name="Picture 4"/>
        <xdr:cNvPicPr>
          <a:picLocks noChangeAspect="1"/>
        </xdr:cNvPicPr>
      </xdr:nvPicPr>
      <xdr:blipFill>
        <a:blip xmlns:r="http://schemas.openxmlformats.org/officeDocument/2006/relationships" r:embed="rId4"/>
        <a:stretch>
          <a:fillRect/>
        </a:stretch>
      </xdr:blipFill>
      <xdr:spPr>
        <a:xfrm>
          <a:off x="2228850" y="9172575"/>
          <a:ext cx="2390476" cy="542857"/>
        </a:xfrm>
        <a:prstGeom prst="rect">
          <a:avLst/>
        </a:prstGeom>
      </xdr:spPr>
    </xdr:pic>
    <xdr:clientData/>
  </xdr:twoCellAnchor>
  <xdr:twoCellAnchor editAs="oneCell">
    <xdr:from>
      <xdr:col>2</xdr:col>
      <xdr:colOff>171450</xdr:colOff>
      <xdr:row>54</xdr:row>
      <xdr:rowOff>9525</xdr:rowOff>
    </xdr:from>
    <xdr:to>
      <xdr:col>10</xdr:col>
      <xdr:colOff>565404</xdr:colOff>
      <xdr:row>62</xdr:row>
      <xdr:rowOff>161852</xdr:rowOff>
    </xdr:to>
    <xdr:pic>
      <xdr:nvPicPr>
        <xdr:cNvPr id="6" name="Picture 5"/>
        <xdr:cNvPicPr>
          <a:picLocks noChangeAspect="1"/>
        </xdr:cNvPicPr>
      </xdr:nvPicPr>
      <xdr:blipFill>
        <a:blip xmlns:r="http://schemas.openxmlformats.org/officeDocument/2006/relationships" r:embed="rId5"/>
        <a:stretch>
          <a:fillRect/>
        </a:stretch>
      </xdr:blipFill>
      <xdr:spPr>
        <a:xfrm>
          <a:off x="590550" y="10401300"/>
          <a:ext cx="5632704" cy="16001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11</xdr:col>
      <xdr:colOff>211491</xdr:colOff>
      <xdr:row>4</xdr:row>
      <xdr:rowOff>15648</xdr:rowOff>
    </xdr:from>
    <xdr:to>
      <xdr:col>17</xdr:col>
      <xdr:colOff>496140</xdr:colOff>
      <xdr:row>10</xdr:row>
      <xdr:rowOff>66956</xdr:rowOff>
    </xdr:to>
    <xdr:sp macro="" textlink="">
      <xdr:nvSpPr>
        <xdr:cNvPr id="2" name="TextBox 1">
          <a:extLst>
            <a:ext uri="{FF2B5EF4-FFF2-40B4-BE49-F238E27FC236}">
              <a16:creationId xmlns="" xmlns:a16="http://schemas.microsoft.com/office/drawing/2014/main" id="{00000000-0008-0000-0100-000005000000}"/>
            </a:ext>
          </a:extLst>
        </xdr:cNvPr>
        <xdr:cNvSpPr txBox="1"/>
      </xdr:nvSpPr>
      <xdr:spPr>
        <a:xfrm>
          <a:off x="7887520" y="766442"/>
          <a:ext cx="3915355" cy="1261543"/>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Calculated values in the Product Simulator are measured under stabilized direct current conditions to more accurately represent the COB performance at typical application. </a:t>
          </a:r>
          <a:r>
            <a:rPr lang="en-US" sz="1100" b="1"/>
            <a:t>DC </a:t>
          </a:r>
          <a:r>
            <a:rPr lang="en-US" sz="1100" b="1" baseline="0"/>
            <a:t> vs. Pulse conditions will produce differing performance measurements. </a:t>
          </a:r>
          <a:r>
            <a:rPr lang="en-US" sz="1100"/>
            <a:t>Please refer to the appropriate COB Datasheet and Production Selection Guides for pulsed measurement specifications.   </a:t>
          </a:r>
        </a:p>
        <a:p>
          <a:r>
            <a:rPr lang="en-US" sz="1100"/>
            <a:t>PPF and photon</a:t>
          </a:r>
          <a:r>
            <a:rPr lang="en-US" sz="1100" baseline="0"/>
            <a:t> efficiency values are only available for T</a:t>
          </a:r>
          <a:r>
            <a:rPr lang="en-US" sz="1100" baseline="-25000"/>
            <a:t>c</a:t>
          </a:r>
          <a:r>
            <a:rPr lang="en-US" sz="1100" baseline="0"/>
            <a:t>=25°C and </a:t>
          </a:r>
          <a:r>
            <a:rPr lang="en-US" sz="1100" baseline="0">
              <a:solidFill>
                <a:schemeClr val="dk1"/>
              </a:solidFill>
              <a:effectLst/>
              <a:latin typeface="+mn-lt"/>
              <a:ea typeface="+mn-ea"/>
              <a:cs typeface="+mn-cs"/>
            </a:rPr>
            <a:t>T</a:t>
          </a:r>
          <a:r>
            <a:rPr lang="en-US" sz="1100" baseline="-25000">
              <a:solidFill>
                <a:schemeClr val="dk1"/>
              </a:solidFill>
              <a:effectLst/>
              <a:latin typeface="+mn-lt"/>
              <a:ea typeface="+mn-ea"/>
              <a:cs typeface="+mn-cs"/>
            </a:rPr>
            <a:t>c</a:t>
          </a:r>
          <a:r>
            <a:rPr lang="en-US" sz="1100" baseline="0"/>
            <a:t>=85°C .</a:t>
          </a:r>
          <a:endParaRPr lang="en-US" sz="1100"/>
        </a:p>
      </xdr:txBody>
    </xdr:sp>
    <xdr:clientData/>
  </xdr:twoCellAnchor>
  <xdr:twoCellAnchor editAs="oneCell">
    <xdr:from>
      <xdr:col>2</xdr:col>
      <xdr:colOff>321469</xdr:colOff>
      <xdr:row>4</xdr:row>
      <xdr:rowOff>172365</xdr:rowOff>
    </xdr:from>
    <xdr:to>
      <xdr:col>4</xdr:col>
      <xdr:colOff>1210235</xdr:colOff>
      <xdr:row>9</xdr:row>
      <xdr:rowOff>159543</xdr:rowOff>
    </xdr:to>
    <xdr:pic>
      <xdr:nvPicPr>
        <xdr:cNvPr id="3" name="Picture 2">
          <a:extLst>
            <a:ext uri="{FF2B5EF4-FFF2-40B4-BE49-F238E27FC236}">
              <a16:creationId xmlns=""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6587" y="923159"/>
          <a:ext cx="2468795" cy="99570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bridgeluxemail-my.sharepoint.com/personal/jianchuantan_bridgelux_com/Documents/Projects/Bridgelux%20Vero%20SE%20Product%20Simulator%20EXPIRES%2020190630%20Rev.6%20-%20BB.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brandonbrooks/Documents/Product%20Files/product-simulator%2020200406/Bridgelux%20Gen%208%20Vero%20Vero-SE%20and%20V%20Series%20Product%20Simulator%20Rev1A.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brandonbrooks/Documents/Project%20Files/2019.05.15%20Product%20Simulator%20Update/Bridgelux%20Gen%208%20Vero%20Vero-SE%20and%20V%20Series%20Product%20Simulator%20Rev1A%20-%20Pre-relea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 Guide"/>
      <sheetName val="Simulator"/>
      <sheetName val="Data"/>
      <sheetName val="Calculations"/>
      <sheetName val="25C SPD"/>
      <sheetName val="PPF calc"/>
      <sheetName val="VEROSE-29D"/>
      <sheetName val="VEROSE-29C"/>
      <sheetName val="VEROSE-29B"/>
      <sheetName val="VEROSE-18D"/>
      <sheetName val="VEROSE-18C"/>
      <sheetName val="VEROSE-18B"/>
      <sheetName val="VEROSE-13D"/>
      <sheetName val="VEROSE-13C"/>
      <sheetName val="VEROSE-13B"/>
      <sheetName val="VEROSE-10B"/>
      <sheetName val="VEROSE-10D"/>
      <sheetName val="VEROSE-10C"/>
    </sheetNames>
    <sheetDataSet>
      <sheetData sheetId="0" refreshError="1"/>
      <sheetData sheetId="1"/>
      <sheetData sheetId="2">
        <row r="37">
          <cell r="N37" t="str">
            <v>Code</v>
          </cell>
          <cell r="O37" t="str">
            <v>85 DC Factor</v>
          </cell>
        </row>
        <row r="38">
          <cell r="N38" t="str">
            <v>17E</v>
          </cell>
          <cell r="O38">
            <v>0.88</v>
          </cell>
        </row>
        <row r="39">
          <cell r="N39" t="str">
            <v>25E</v>
          </cell>
          <cell r="O39">
            <v>0.88</v>
          </cell>
        </row>
        <row r="40">
          <cell r="N40" t="str">
            <v>27E</v>
          </cell>
          <cell r="O40">
            <v>0.90691252449670401</v>
          </cell>
        </row>
        <row r="41">
          <cell r="N41" t="str">
            <v>27G</v>
          </cell>
          <cell r="O41">
            <v>0.88</v>
          </cell>
        </row>
        <row r="42">
          <cell r="N42" t="str">
            <v>27H</v>
          </cell>
          <cell r="O42">
            <v>0.82</v>
          </cell>
        </row>
        <row r="43">
          <cell r="N43" t="str">
            <v>30A</v>
          </cell>
          <cell r="O43">
            <v>0.87769747119999997</v>
          </cell>
        </row>
        <row r="44">
          <cell r="N44" t="str">
            <v>30E</v>
          </cell>
          <cell r="O44">
            <v>0.90421201296003983</v>
          </cell>
        </row>
        <row r="45">
          <cell r="N45" t="str">
            <v>30G</v>
          </cell>
          <cell r="O45">
            <v>0.88</v>
          </cell>
        </row>
        <row r="46">
          <cell r="N46" t="str">
            <v>30H</v>
          </cell>
          <cell r="O46">
            <v>0.82</v>
          </cell>
        </row>
        <row r="47">
          <cell r="N47" t="str">
            <v>35E</v>
          </cell>
          <cell r="O47">
            <v>0.90843612881861069</v>
          </cell>
        </row>
        <row r="48">
          <cell r="N48" t="str">
            <v>35G</v>
          </cell>
          <cell r="O48">
            <v>0.89</v>
          </cell>
        </row>
        <row r="49">
          <cell r="N49" t="str">
            <v>35H</v>
          </cell>
        </row>
        <row r="50">
          <cell r="N50" t="str">
            <v>40A</v>
          </cell>
          <cell r="O50">
            <v>0.89355050089999999</v>
          </cell>
        </row>
        <row r="51">
          <cell r="N51" t="str">
            <v>40E</v>
          </cell>
          <cell r="O51">
            <v>0.90312681429874753</v>
          </cell>
        </row>
        <row r="52">
          <cell r="N52" t="str">
            <v>40G</v>
          </cell>
          <cell r="O52">
            <v>0.88</v>
          </cell>
        </row>
        <row r="53">
          <cell r="N53" t="str">
            <v>50C</v>
          </cell>
          <cell r="O53">
            <v>0.88</v>
          </cell>
        </row>
        <row r="54">
          <cell r="N54" t="str">
            <v>50E</v>
          </cell>
          <cell r="O54">
            <v>0.88</v>
          </cell>
        </row>
        <row r="55">
          <cell r="N55" t="str">
            <v>50G</v>
          </cell>
          <cell r="O55">
            <v>0.88</v>
          </cell>
        </row>
        <row r="56">
          <cell r="N56" t="str">
            <v>56G</v>
          </cell>
          <cell r="O56">
            <v>0.88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P5" t="str">
            <v>Lumens</v>
          </cell>
        </row>
      </sheetData>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 Guide"/>
      <sheetName val="Simulator"/>
      <sheetName val="Data"/>
      <sheetName val="Calculations"/>
      <sheetName val="25C SPD"/>
      <sheetName val="PPF calc"/>
      <sheetName val="Scaling Factors"/>
      <sheetName val="Bridgelux Gen 8 Vero Vero-SE an"/>
    </sheetNames>
    <sheetDataSet>
      <sheetData sheetId="0"/>
      <sheetData sheetId="1"/>
      <sheetData sheetId="2">
        <row r="3">
          <cell r="AB3" t="str">
            <v>Code</v>
          </cell>
          <cell r="AC3" t="str">
            <v>85 DC Factor</v>
          </cell>
          <cell r="AF3" t="str">
            <v>Code</v>
          </cell>
          <cell r="AG3" t="str">
            <v>85 DC Factor</v>
          </cell>
          <cell r="AI3" t="str">
            <v>Code</v>
          </cell>
          <cell r="AJ3" t="str">
            <v>85 DC Factor</v>
          </cell>
          <cell r="AL3" t="str">
            <v>Code</v>
          </cell>
          <cell r="AM3" t="str">
            <v>85 DC Factor</v>
          </cell>
        </row>
        <row r="4">
          <cell r="AB4" t="str">
            <v>17E</v>
          </cell>
          <cell r="AC4" t="str">
            <v>-</v>
          </cell>
          <cell r="AF4" t="str">
            <v>17E</v>
          </cell>
          <cell r="AG4" t="str">
            <v>-</v>
          </cell>
          <cell r="AI4" t="str">
            <v>17E</v>
          </cell>
          <cell r="AJ4">
            <v>0.88</v>
          </cell>
          <cell r="AL4" t="str">
            <v>17E</v>
          </cell>
          <cell r="AM4">
            <v>0.88</v>
          </cell>
        </row>
        <row r="5">
          <cell r="AB5" t="str">
            <v>25E</v>
          </cell>
          <cell r="AC5" t="str">
            <v>-</v>
          </cell>
          <cell r="AF5" t="str">
            <v>25E</v>
          </cell>
          <cell r="AG5" t="str">
            <v>-</v>
          </cell>
          <cell r="AI5" t="str">
            <v>25E</v>
          </cell>
          <cell r="AJ5">
            <v>0.88</v>
          </cell>
          <cell r="AL5" t="str">
            <v>25E</v>
          </cell>
          <cell r="AM5">
            <v>0.88</v>
          </cell>
        </row>
        <row r="6">
          <cell r="AB6" t="str">
            <v>27E</v>
          </cell>
          <cell r="AC6">
            <v>0.88898999999999995</v>
          </cell>
          <cell r="AF6" t="str">
            <v>27E</v>
          </cell>
          <cell r="AG6">
            <v>0.91579999999999995</v>
          </cell>
          <cell r="AI6" t="str">
            <v>27E</v>
          </cell>
          <cell r="AJ6">
            <v>0.90691252449670401</v>
          </cell>
          <cell r="AL6" t="str">
            <v>27E</v>
          </cell>
          <cell r="AM6">
            <v>0.90539926611916821</v>
          </cell>
        </row>
        <row r="7">
          <cell r="AB7" t="str">
            <v>27G</v>
          </cell>
          <cell r="AC7">
            <v>0.88898999999999995</v>
          </cell>
          <cell r="AF7" t="str">
            <v>27G</v>
          </cell>
          <cell r="AG7">
            <v>0.88</v>
          </cell>
          <cell r="AI7" t="str">
            <v>27G</v>
          </cell>
          <cell r="AJ7">
            <v>0.88</v>
          </cell>
          <cell r="AL7" t="str">
            <v>27G</v>
          </cell>
          <cell r="AM7">
            <v>0.88</v>
          </cell>
        </row>
        <row r="8">
          <cell r="AB8" t="str">
            <v>27H</v>
          </cell>
          <cell r="AC8">
            <v>0.82</v>
          </cell>
          <cell r="AF8" t="str">
            <v>27H</v>
          </cell>
          <cell r="AG8">
            <v>0.82</v>
          </cell>
          <cell r="AI8" t="str">
            <v>27H</v>
          </cell>
          <cell r="AJ8">
            <v>0.82</v>
          </cell>
          <cell r="AL8" t="str">
            <v>27H</v>
          </cell>
          <cell r="AM8">
            <v>0.82</v>
          </cell>
        </row>
        <row r="9">
          <cell r="AB9" t="str">
            <v>30A</v>
          </cell>
          <cell r="AC9">
            <v>0.88812461440000001</v>
          </cell>
          <cell r="AF9" t="str">
            <v>30A</v>
          </cell>
          <cell r="AG9">
            <v>0.88812461440000001</v>
          </cell>
          <cell r="AI9" t="str">
            <v>30A</v>
          </cell>
          <cell r="AJ9">
            <v>0.87769747119999997</v>
          </cell>
          <cell r="AL9" t="str">
            <v>30A</v>
          </cell>
          <cell r="AM9">
            <v>0.89107579370000001</v>
          </cell>
        </row>
        <row r="10">
          <cell r="AB10" t="str">
            <v>30E</v>
          </cell>
          <cell r="AC10">
            <v>0.88932599999999995</v>
          </cell>
          <cell r="AF10" t="str">
            <v>30E</v>
          </cell>
          <cell r="AG10">
            <v>0.90076212096643438</v>
          </cell>
          <cell r="AI10" t="str">
            <v>30E</v>
          </cell>
          <cell r="AJ10">
            <v>0.90421201296003983</v>
          </cell>
          <cell r="AL10" t="str">
            <v>30E</v>
          </cell>
          <cell r="AM10">
            <v>0.90774086378737495</v>
          </cell>
        </row>
        <row r="11">
          <cell r="AB11" t="str">
            <v>30G</v>
          </cell>
          <cell r="AC11">
            <v>0.88932599999999995</v>
          </cell>
          <cell r="AF11" t="str">
            <v>30G</v>
          </cell>
          <cell r="AG11">
            <v>0.88</v>
          </cell>
          <cell r="AI11" t="str">
            <v>30G</v>
          </cell>
          <cell r="AJ11">
            <v>0.88</v>
          </cell>
          <cell r="AL11" t="str">
            <v>30G</v>
          </cell>
          <cell r="AM11">
            <v>0.88</v>
          </cell>
        </row>
        <row r="12">
          <cell r="AB12" t="str">
            <v>30H</v>
          </cell>
          <cell r="AC12">
            <v>0.82</v>
          </cell>
          <cell r="AF12" t="str">
            <v>30H</v>
          </cell>
          <cell r="AG12">
            <v>0.82</v>
          </cell>
          <cell r="AI12" t="str">
            <v>30H</v>
          </cell>
          <cell r="AJ12">
            <v>0.82</v>
          </cell>
          <cell r="AL12" t="str">
            <v>30H</v>
          </cell>
          <cell r="AM12">
            <v>0.82</v>
          </cell>
        </row>
        <row r="13">
          <cell r="AB13" t="str">
            <v>35E</v>
          </cell>
          <cell r="AC13">
            <v>0.88932599999999995</v>
          </cell>
          <cell r="AF13" t="str">
            <v>35E</v>
          </cell>
          <cell r="AG13">
            <v>0.90566335384129992</v>
          </cell>
          <cell r="AI13" t="str">
            <v>35E</v>
          </cell>
          <cell r="AJ13">
            <v>0.90843612881861069</v>
          </cell>
          <cell r="AL13" t="str">
            <v>35E</v>
          </cell>
          <cell r="AM13">
            <v>0.89750486066105006</v>
          </cell>
        </row>
        <row r="14">
          <cell r="AB14" t="str">
            <v>35G</v>
          </cell>
          <cell r="AC14">
            <v>0.89</v>
          </cell>
          <cell r="AF14" t="str">
            <v>35G</v>
          </cell>
          <cell r="AG14">
            <v>0.89</v>
          </cell>
          <cell r="AI14" t="str">
            <v>35G</v>
          </cell>
          <cell r="AJ14">
            <v>0.89</v>
          </cell>
          <cell r="AL14" t="str">
            <v>35G</v>
          </cell>
          <cell r="AM14">
            <v>0.89</v>
          </cell>
        </row>
        <row r="15">
          <cell r="AB15" t="str">
            <v>35H</v>
          </cell>
          <cell r="AC15" t="str">
            <v>-</v>
          </cell>
          <cell r="AF15" t="str">
            <v>35H</v>
          </cell>
          <cell r="AG15" t="str">
            <v>-</v>
          </cell>
          <cell r="AI15" t="str">
            <v>35H</v>
          </cell>
          <cell r="AJ15">
            <v>0</v>
          </cell>
          <cell r="AL15" t="str">
            <v>35H</v>
          </cell>
          <cell r="AM15">
            <v>0</v>
          </cell>
        </row>
        <row r="16">
          <cell r="AB16" t="str">
            <v>40A</v>
          </cell>
          <cell r="AC16">
            <v>0.88787044189999997</v>
          </cell>
          <cell r="AF16" t="str">
            <v>40A</v>
          </cell>
          <cell r="AG16">
            <v>0.88787044189999997</v>
          </cell>
          <cell r="AI16" t="str">
            <v>40A</v>
          </cell>
          <cell r="AJ16">
            <v>0.89355050089999999</v>
          </cell>
          <cell r="AL16" t="str">
            <v>40A</v>
          </cell>
          <cell r="AM16">
            <v>0.8906497457</v>
          </cell>
        </row>
        <row r="17">
          <cell r="AB17" t="str">
            <v>40E</v>
          </cell>
          <cell r="AC17">
            <v>0.88565000000000005</v>
          </cell>
          <cell r="AF17" t="str">
            <v>40E</v>
          </cell>
          <cell r="AG17">
            <v>0.9019637925744094</v>
          </cell>
          <cell r="AI17" t="str">
            <v>40E</v>
          </cell>
          <cell r="AJ17">
            <v>0.90312681429874753</v>
          </cell>
          <cell r="AL17" t="str">
            <v>40E</v>
          </cell>
          <cell r="AM17">
            <v>0.89817667400188606</v>
          </cell>
        </row>
        <row r="18">
          <cell r="AB18" t="str">
            <v>40G</v>
          </cell>
          <cell r="AC18">
            <v>0.88565000000000005</v>
          </cell>
          <cell r="AF18" t="str">
            <v>40G</v>
          </cell>
          <cell r="AG18">
            <v>0.88</v>
          </cell>
          <cell r="AI18" t="str">
            <v>40G</v>
          </cell>
          <cell r="AJ18">
            <v>0.88</v>
          </cell>
          <cell r="AL18" t="str">
            <v>40G</v>
          </cell>
          <cell r="AM18">
            <v>0.88</v>
          </cell>
        </row>
        <row r="19">
          <cell r="AB19" t="str">
            <v>50C</v>
          </cell>
          <cell r="AC19">
            <v>0.87918499999999999</v>
          </cell>
          <cell r="AF19" t="str">
            <v>50C</v>
          </cell>
          <cell r="AG19">
            <v>0.88</v>
          </cell>
          <cell r="AI19" t="str">
            <v>50C</v>
          </cell>
          <cell r="AJ19">
            <v>0.88</v>
          </cell>
          <cell r="AL19" t="str">
            <v>50C</v>
          </cell>
          <cell r="AM19">
            <v>0.88</v>
          </cell>
        </row>
        <row r="20">
          <cell r="AB20" t="str">
            <v>50E</v>
          </cell>
          <cell r="AC20">
            <v>0.87918499999999999</v>
          </cell>
          <cell r="AF20" t="str">
            <v>50E</v>
          </cell>
          <cell r="AG20">
            <v>0.88</v>
          </cell>
          <cell r="AI20" t="str">
            <v>50E</v>
          </cell>
          <cell r="AJ20">
            <v>0.88</v>
          </cell>
          <cell r="AL20" t="str">
            <v>50E</v>
          </cell>
          <cell r="AM20">
            <v>0.88</v>
          </cell>
        </row>
        <row r="21">
          <cell r="AB21" t="str">
            <v>50G</v>
          </cell>
          <cell r="AC21">
            <v>0.87918499999999999</v>
          </cell>
          <cell r="AF21" t="str">
            <v>50G</v>
          </cell>
          <cell r="AG21">
            <v>0.88</v>
          </cell>
          <cell r="AI21" t="str">
            <v>50G</v>
          </cell>
          <cell r="AJ21">
            <v>0.88</v>
          </cell>
          <cell r="AL21" t="str">
            <v>50G</v>
          </cell>
          <cell r="AM21">
            <v>0.88</v>
          </cell>
        </row>
        <row r="22">
          <cell r="AB22" t="str">
            <v>56G</v>
          </cell>
          <cell r="AC22">
            <v>0.86</v>
          </cell>
          <cell r="AF22" t="str">
            <v>56G</v>
          </cell>
          <cell r="AG22">
            <v>0.86</v>
          </cell>
          <cell r="AI22" t="str">
            <v>56G</v>
          </cell>
          <cell r="AJ22">
            <v>0.88</v>
          </cell>
          <cell r="AL22" t="str">
            <v>56G</v>
          </cell>
          <cell r="AM22">
            <v>0.88</v>
          </cell>
        </row>
        <row r="26">
          <cell r="AB26" t="str">
            <v>Code</v>
          </cell>
          <cell r="AC26" t="str">
            <v>85 DC Factor</v>
          </cell>
          <cell r="AF26" t="str">
            <v>Code</v>
          </cell>
          <cell r="AG26" t="str">
            <v>85 DC Factor</v>
          </cell>
          <cell r="AI26" t="str">
            <v>Code</v>
          </cell>
          <cell r="AJ26" t="str">
            <v>85 DC Factor</v>
          </cell>
          <cell r="AL26" t="str">
            <v>Code</v>
          </cell>
          <cell r="AM26" t="str">
            <v>85 DC Factor</v>
          </cell>
        </row>
        <row r="27">
          <cell r="AB27" t="str">
            <v>27E</v>
          </cell>
          <cell r="AC27">
            <v>0.9</v>
          </cell>
          <cell r="AF27" t="str">
            <v>27E</v>
          </cell>
          <cell r="AG27">
            <v>0.89800000000000002</v>
          </cell>
          <cell r="AI27" t="str">
            <v>27E</v>
          </cell>
          <cell r="AJ27">
            <v>0.88873228900000001</v>
          </cell>
          <cell r="AL27" t="str">
            <v>27E</v>
          </cell>
          <cell r="AM27">
            <v>0.892060046</v>
          </cell>
        </row>
        <row r="28">
          <cell r="AB28" t="str">
            <v>27G</v>
          </cell>
          <cell r="AC28">
            <v>0.9</v>
          </cell>
          <cell r="AF28" t="str">
            <v>27G</v>
          </cell>
          <cell r="AG28">
            <v>0.88</v>
          </cell>
          <cell r="AI28" t="str">
            <v>27G</v>
          </cell>
          <cell r="AJ28">
            <v>0.88873228900000001</v>
          </cell>
          <cell r="AL28" t="str">
            <v>27G</v>
          </cell>
          <cell r="AM28">
            <v>0.892060046</v>
          </cell>
        </row>
        <row r="29">
          <cell r="AB29" t="str">
            <v>30E</v>
          </cell>
          <cell r="AC29">
            <v>0.9</v>
          </cell>
          <cell r="AF29" t="str">
            <v>30E</v>
          </cell>
          <cell r="AG29">
            <v>0.89600000000000002</v>
          </cell>
          <cell r="AI29" t="str">
            <v>30E</v>
          </cell>
          <cell r="AJ29">
            <v>0.89565275099999997</v>
          </cell>
          <cell r="AL29" t="str">
            <v>30E</v>
          </cell>
          <cell r="AM29">
            <v>0.89370903300000004</v>
          </cell>
        </row>
        <row r="30">
          <cell r="AB30" t="str">
            <v>30G</v>
          </cell>
          <cell r="AC30">
            <v>0.9</v>
          </cell>
          <cell r="AF30" t="str">
            <v>30G</v>
          </cell>
          <cell r="AG30">
            <v>0.88</v>
          </cell>
          <cell r="AI30" t="str">
            <v>30G</v>
          </cell>
          <cell r="AJ30">
            <v>0.89565275099999997</v>
          </cell>
          <cell r="AL30" t="str">
            <v>30G</v>
          </cell>
          <cell r="AM30">
            <v>0.89370903300000004</v>
          </cell>
        </row>
        <row r="31">
          <cell r="AB31" t="str">
            <v>40E</v>
          </cell>
          <cell r="AC31">
            <v>0.9</v>
          </cell>
          <cell r="AF31" t="str">
            <v>40E</v>
          </cell>
          <cell r="AG31">
            <v>0.90100000000000002</v>
          </cell>
          <cell r="AI31" t="str">
            <v>40E</v>
          </cell>
          <cell r="AJ31">
            <v>0.896027095</v>
          </cell>
          <cell r="AL31" t="str">
            <v>40E</v>
          </cell>
          <cell r="AM31">
            <v>0.89357501399999995</v>
          </cell>
        </row>
        <row r="32">
          <cell r="AB32" t="str">
            <v>40G</v>
          </cell>
          <cell r="AC32">
            <v>0</v>
          </cell>
          <cell r="AF32" t="str">
            <v>40G</v>
          </cell>
          <cell r="AG32">
            <v>0.88</v>
          </cell>
          <cell r="AI32" t="str">
            <v>40G</v>
          </cell>
          <cell r="AJ32">
            <v>0.896027095</v>
          </cell>
          <cell r="AL32" t="str">
            <v>40G</v>
          </cell>
          <cell r="AM32">
            <v>0.89357501399999995</v>
          </cell>
        </row>
        <row r="33">
          <cell r="AB33" t="str">
            <v>50C</v>
          </cell>
          <cell r="AC33">
            <v>0.9</v>
          </cell>
          <cell r="AF33" t="str">
            <v>50C</v>
          </cell>
          <cell r="AG33">
            <v>0.88</v>
          </cell>
          <cell r="AI33" t="str">
            <v>50C</v>
          </cell>
          <cell r="AJ33">
            <v>0.86730394499999997</v>
          </cell>
          <cell r="AL33" t="str">
            <v>50C</v>
          </cell>
          <cell r="AM33">
            <v>0.86730394499999997</v>
          </cell>
        </row>
        <row r="34">
          <cell r="AB34" t="str">
            <v>50E</v>
          </cell>
          <cell r="AC34">
            <v>0.9</v>
          </cell>
          <cell r="AF34" t="str">
            <v>50E</v>
          </cell>
          <cell r="AG34">
            <v>0.88</v>
          </cell>
          <cell r="AI34" t="str">
            <v>50E</v>
          </cell>
          <cell r="AJ34">
            <v>0.86730394499999997</v>
          </cell>
          <cell r="AL34" t="str">
            <v>50E</v>
          </cell>
          <cell r="AM34">
            <v>0.86730394499999997</v>
          </cell>
        </row>
        <row r="35">
          <cell r="AB35" t="str">
            <v>50G</v>
          </cell>
          <cell r="AC35">
            <v>0.9</v>
          </cell>
          <cell r="AF35" t="str">
            <v>50G</v>
          </cell>
          <cell r="AG35">
            <v>0.88</v>
          </cell>
          <cell r="AI35" t="str">
            <v>50G</v>
          </cell>
          <cell r="AJ35">
            <v>0.86730394499999997</v>
          </cell>
          <cell r="AL35" t="str">
            <v>50G</v>
          </cell>
          <cell r="AM35">
            <v>0.86730394499999997</v>
          </cell>
        </row>
      </sheetData>
      <sheetData sheetId="3"/>
      <sheetData sheetId="4"/>
      <sheetData sheetId="5"/>
      <sheetData sheetId="6"/>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ser Guide"/>
      <sheetName val="Simulator"/>
      <sheetName val="Data"/>
      <sheetName val="Calculations"/>
      <sheetName val="25C SPD"/>
      <sheetName val="PPF calc"/>
      <sheetName val="Scaling Factors"/>
      <sheetName val="Bridgelux Gen 8 Vero Vero-SE an"/>
    </sheetNames>
    <sheetDataSet>
      <sheetData sheetId="0"/>
      <sheetData sheetId="1">
        <row r="8">
          <cell r="I8">
            <v>55</v>
          </cell>
        </row>
      </sheetData>
      <sheetData sheetId="2"/>
      <sheetData sheetId="3">
        <row r="6">
          <cell r="AD6" t="e">
            <v>#N/A</v>
          </cell>
        </row>
      </sheetData>
      <sheetData sheetId="4"/>
      <sheetData sheetId="5">
        <row r="8">
          <cell r="J8" t="e">
            <v>#N/A</v>
          </cell>
        </row>
      </sheetData>
      <sheetData sheetId="6"/>
      <sheetData sheetId="7" refreshError="1"/>
    </sheetDataSet>
  </externalBook>
</externalLink>
</file>

<file path=xl/tables/table1.xml><?xml version="1.0" encoding="utf-8"?>
<table xmlns="http://schemas.openxmlformats.org/spreadsheetml/2006/main" id="3" name="Master_Table" displayName="Master_Table" ref="A4:AY104" totalsRowShown="0" headerRowDxfId="57" dataDxfId="56">
  <autoFilter ref="A4:AY104"/>
  <tableColumns count="51">
    <tableColumn id="95" name="LES-Type" dataDxfId="55"/>
    <tableColumn id="1" name="Product Family" dataDxfId="54"/>
    <tableColumn id="3" name="Tunable White Array" dataDxfId="53"/>
    <tableColumn id="2" name="Nominal CCT+CRI" dataDxfId="52"/>
    <tableColumn id="4" name="Lumen Family" dataDxfId="51"/>
    <tableColumn id="5" name="Generation" dataDxfId="50"/>
    <tableColumn id="94" name="Tech" dataDxfId="49"/>
    <tableColumn id="93" name="PF+CCT+Tech" dataDxfId="48">
      <calculatedColumnFormula>Master_Table[[#This Row],[LES-Type]]&amp;"-"&amp;Master_Table[[#This Row],[Nominal CCT+CRI]]&amp;Master_Table[[#This Row],[Tech]]</calculatedColumnFormula>
    </tableColumn>
    <tableColumn id="7" name="P/N" dataDxfId="47">
      <calculatedColumnFormula>Master_Table[[#This Row],[Product Family]]&amp;"-"&amp;Master_Table[[#This Row],[Tunable White Array]]&amp;"-"&amp;Master_Table[[#This Row],[Nominal CCT+CRI]]&amp;"-"&amp;IF(Master_Table[[#This Row],[Lumen Family]]&lt;999,"0"&amp;Master_Table[[#This Row],[Lumen Family]],Master_Table[[#This Row],[Lumen Family]])&amp;"-"&amp;Master_Table[[#This Row],[Generation]]&amp;"-13"</calculatedColumnFormula>
    </tableColumn>
    <tableColumn id="26" name="MinCurrent" dataDxfId="46"/>
    <tableColumn id="12" name="Typical Current" dataDxfId="45"/>
    <tableColumn id="13" name="Max Current" dataDxfId="44"/>
    <tableColumn id="8" name="Typical Lumens" dataDxfId="43"/>
    <tableColumn id="9" name="Typical Efficacy" dataDxfId="42">
      <calculatedColumnFormula>Master_Table[[#This Row],[Typical Lumens]]/(Master_Table[[#This Row],[Typical Voltage]]*Master_Table[[#This Row],[Typical Current]]/1000)</calculatedColumnFormula>
    </tableColumn>
    <tableColumn id="11" name="Typical Voltage" dataDxfId="41"/>
    <tableColumn id="43" name="dV/dT (mV/C)" dataDxfId="40"/>
    <tableColumn id="15" name="V^4" dataDxfId="39"/>
    <tableColumn id="16" name="V^3" dataDxfId="38"/>
    <tableColumn id="17" name="V^2" dataDxfId="37"/>
    <tableColumn id="18" name="V" dataDxfId="36"/>
    <tableColumn id="19" name="V0" dataDxfId="35"/>
    <tableColumn id="42" name="I^4" dataDxfId="34"/>
    <tableColumn id="20" name="I^3" dataDxfId="33"/>
    <tableColumn id="21" name="I^2" dataDxfId="32"/>
    <tableColumn id="22" name="I" dataDxfId="31"/>
    <tableColumn id="23" name="I0" dataDxfId="30"/>
    <tableColumn id="28" name="T^4" dataDxfId="29"/>
    <tableColumn id="29" name="T^3" dataDxfId="28"/>
    <tableColumn id="30" name="T^2" dataDxfId="27"/>
    <tableColumn id="31" name="T" dataDxfId="26"/>
    <tableColumn id="32" name="T0" dataDxfId="25"/>
    <tableColumn id="44" name="CCT^4" dataDxfId="24"/>
    <tableColumn id="45" name="CCT^3" dataDxfId="23"/>
    <tableColumn id="46" name="CCT^2" dataDxfId="22"/>
    <tableColumn id="47" name="CCT^1" dataDxfId="21"/>
    <tableColumn id="48" name="CCT^0" dataDxfId="20"/>
    <tableColumn id="37" name="CCT^42" dataDxfId="19"/>
    <tableColumn id="38" name="CCT^32" dataDxfId="18"/>
    <tableColumn id="39" name="CCT^22" dataDxfId="17"/>
    <tableColumn id="40" name="CCT^12" dataDxfId="16"/>
    <tableColumn id="41" name="CCT^02" dataDxfId="15"/>
    <tableColumn id="6" name="K^4" dataDxfId="14"/>
    <tableColumn id="10" name="K^3" dataDxfId="13"/>
    <tableColumn id="14" name="K^2" dataDxfId="12"/>
    <tableColumn id="24" name="K^1" dataDxfId="11"/>
    <tableColumn id="25" name="K^0" dataDxfId="10"/>
    <tableColumn id="27" name="K^42" dataDxfId="9"/>
    <tableColumn id="33" name="K^32" dataDxfId="8"/>
    <tableColumn id="34" name="K^22" dataDxfId="7"/>
    <tableColumn id="35" name="K^12" dataDxfId="6"/>
    <tableColumn id="36" name="K^02" dataDxfId="5"/>
  </tableColumns>
  <tableStyleInfo name="TableStyleMedium2" showFirstColumn="0" showLastColumn="0" showRowStripes="1" showColumnStripes="0"/>
</table>
</file>

<file path=xl/tables/table2.xml><?xml version="1.0" encoding="utf-8"?>
<table xmlns="http://schemas.openxmlformats.org/spreadsheetml/2006/main" id="5" name="CCT_CRI" displayName="CCT_CRI" ref="B2:E6" totalsRowShown="0" headerRowDxfId="4" tableBorderDxfId="3">
  <autoFilter ref="B2:E6"/>
  <tableColumns count="4">
    <tableColumn id="1" name="Nominal CCT+CRI"/>
    <tableColumn id="2" name="Code" dataDxfId="2"/>
    <tableColumn id="3" name="Warm" dataDxfId="1"/>
    <tableColumn id="4" name="Nominal" dataDxfId="0"/>
  </tableColumns>
  <tableStyleInfo name="TableStyleMedium2" showFirstColumn="0" showLastColumn="0" showRowStripes="1" showColumnStripes="0"/>
</table>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Lumens@T" TargetMode="External"/><Relationship Id="rId2" Type="http://schemas.openxmlformats.org/officeDocument/2006/relationships/hyperlink" Target="mailto:dV@T" TargetMode="External"/><Relationship Id="rId1" Type="http://schemas.openxmlformats.org/officeDocument/2006/relationships/hyperlink" Target="mailto:dV@T"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L93"/>
  <sheetViews>
    <sheetView zoomScaleNormal="100" workbookViewId="0"/>
  </sheetViews>
  <sheetFormatPr defaultColWidth="10.28515625" defaultRowHeight="14.25" x14ac:dyDescent="0.2"/>
  <cols>
    <col min="1" max="1" width="3.28515625" style="171" customWidth="1"/>
    <col min="2" max="2" width="3" style="171" customWidth="1"/>
    <col min="3" max="9" width="10.28515625" style="171"/>
    <col min="10" max="10" width="6.5703125" style="171" customWidth="1"/>
    <col min="11" max="11" width="12" style="171" customWidth="1"/>
    <col min="12" max="12" width="3" style="171" customWidth="1"/>
    <col min="13" max="16384" width="10.28515625" style="171"/>
  </cols>
  <sheetData>
    <row r="1" spans="2:12" ht="15" thickBot="1" x14ac:dyDescent="0.25"/>
    <row r="2" spans="2:12" x14ac:dyDescent="0.2">
      <c r="B2" s="172"/>
      <c r="C2" s="173"/>
      <c r="D2" s="173"/>
      <c r="E2" s="173"/>
      <c r="F2" s="173"/>
      <c r="G2" s="173"/>
      <c r="H2" s="173"/>
      <c r="I2" s="173"/>
      <c r="J2" s="173"/>
      <c r="K2" s="173"/>
      <c r="L2" s="174"/>
    </row>
    <row r="3" spans="2:12" ht="15" x14ac:dyDescent="0.2">
      <c r="B3" s="175"/>
      <c r="C3" s="176" t="s">
        <v>65</v>
      </c>
      <c r="D3" s="177"/>
      <c r="E3" s="177"/>
      <c r="F3" s="177"/>
      <c r="G3" s="177"/>
      <c r="H3" s="177"/>
      <c r="I3" s="177"/>
      <c r="J3" s="177"/>
      <c r="K3" s="177"/>
      <c r="L3" s="178"/>
    </row>
    <row r="4" spans="2:12" ht="15" x14ac:dyDescent="0.2">
      <c r="B4" s="175"/>
      <c r="C4" s="176" t="s">
        <v>66</v>
      </c>
      <c r="D4" s="177"/>
      <c r="E4" s="177"/>
      <c r="F4" s="177"/>
      <c r="G4" s="177"/>
      <c r="H4" s="177"/>
      <c r="I4" s="177"/>
      <c r="J4" s="177"/>
      <c r="K4" s="177"/>
      <c r="L4" s="178"/>
    </row>
    <row r="5" spans="2:12" ht="15" x14ac:dyDescent="0.2">
      <c r="B5" s="175"/>
      <c r="C5" s="176"/>
      <c r="D5" s="177"/>
      <c r="E5" s="177"/>
      <c r="F5" s="177"/>
      <c r="G5" s="177"/>
      <c r="H5" s="177"/>
      <c r="I5" s="177"/>
      <c r="J5" s="177"/>
      <c r="K5" s="177"/>
      <c r="L5" s="178"/>
    </row>
    <row r="6" spans="2:12" ht="15" x14ac:dyDescent="0.2">
      <c r="B6" s="175"/>
      <c r="C6" s="176" t="s">
        <v>67</v>
      </c>
      <c r="D6" s="177"/>
      <c r="E6" s="177"/>
      <c r="F6" s="177"/>
      <c r="G6" s="177"/>
      <c r="H6" s="177"/>
      <c r="I6" s="177"/>
      <c r="J6" s="177"/>
      <c r="K6" s="177"/>
      <c r="L6" s="178"/>
    </row>
    <row r="7" spans="2:12" ht="15" x14ac:dyDescent="0.2">
      <c r="B7" s="175"/>
      <c r="C7" s="176"/>
      <c r="D7" s="177"/>
      <c r="E7" s="177"/>
      <c r="F7" s="177"/>
      <c r="G7" s="177"/>
      <c r="H7" s="177"/>
      <c r="I7" s="177"/>
      <c r="J7" s="177"/>
      <c r="K7" s="177"/>
      <c r="L7" s="178"/>
    </row>
    <row r="8" spans="2:12" ht="45.75" customHeight="1" x14ac:dyDescent="0.2">
      <c r="B8" s="175"/>
      <c r="C8" s="295" t="s">
        <v>174</v>
      </c>
      <c r="D8" s="295"/>
      <c r="E8" s="295"/>
      <c r="F8" s="295"/>
      <c r="G8" s="295"/>
      <c r="H8" s="295"/>
      <c r="I8" s="295"/>
      <c r="J8" s="295"/>
      <c r="K8" s="295"/>
      <c r="L8" s="178"/>
    </row>
    <row r="9" spans="2:12" ht="15" x14ac:dyDescent="0.2">
      <c r="B9" s="175"/>
      <c r="C9" s="179"/>
      <c r="D9" s="177"/>
      <c r="E9" s="177"/>
      <c r="F9" s="177"/>
      <c r="G9" s="177"/>
      <c r="H9" s="177"/>
      <c r="I9" s="177"/>
      <c r="J9" s="177"/>
      <c r="K9" s="177"/>
      <c r="L9" s="178"/>
    </row>
    <row r="10" spans="2:12" ht="15" x14ac:dyDescent="0.2">
      <c r="B10" s="175"/>
      <c r="C10" s="176" t="s">
        <v>68</v>
      </c>
      <c r="D10" s="177"/>
      <c r="E10" s="177"/>
      <c r="F10" s="177"/>
      <c r="G10" s="177"/>
      <c r="H10" s="177"/>
      <c r="I10" s="177"/>
      <c r="J10" s="177"/>
      <c r="K10" s="177"/>
      <c r="L10" s="178"/>
    </row>
    <row r="11" spans="2:12" ht="15" x14ac:dyDescent="0.2">
      <c r="B11" s="175"/>
      <c r="C11" s="179"/>
      <c r="D11" s="177"/>
      <c r="E11" s="177"/>
      <c r="F11" s="177"/>
      <c r="G11" s="177"/>
      <c r="H11" s="177"/>
      <c r="I11" s="177"/>
      <c r="J11" s="177"/>
      <c r="K11" s="177"/>
      <c r="L11" s="178"/>
    </row>
    <row r="12" spans="2:12" ht="15" x14ac:dyDescent="0.2">
      <c r="B12" s="175"/>
      <c r="C12" s="179" t="s">
        <v>175</v>
      </c>
      <c r="D12" s="177"/>
      <c r="E12" s="177"/>
      <c r="F12" s="177"/>
      <c r="G12" s="177"/>
      <c r="H12" s="177"/>
      <c r="I12" s="177"/>
      <c r="J12" s="177"/>
      <c r="K12" s="177"/>
      <c r="L12" s="178"/>
    </row>
    <row r="13" spans="2:12" ht="15" x14ac:dyDescent="0.2">
      <c r="B13" s="175"/>
      <c r="C13" s="179"/>
      <c r="D13" s="177"/>
      <c r="E13" s="177"/>
      <c r="F13" s="177"/>
      <c r="G13" s="177"/>
      <c r="H13" s="177"/>
      <c r="I13" s="177"/>
      <c r="J13" s="177"/>
      <c r="K13" s="177"/>
      <c r="L13" s="178"/>
    </row>
    <row r="14" spans="2:12" ht="15" x14ac:dyDescent="0.2">
      <c r="B14" s="175"/>
      <c r="C14" s="176" t="s">
        <v>69</v>
      </c>
      <c r="D14" s="177"/>
      <c r="E14" s="177"/>
      <c r="F14" s="177"/>
      <c r="G14" s="177"/>
      <c r="H14" s="177"/>
      <c r="I14" s="177"/>
      <c r="J14" s="177"/>
      <c r="K14" s="177"/>
      <c r="L14" s="178"/>
    </row>
    <row r="15" spans="2:12" ht="15" x14ac:dyDescent="0.2">
      <c r="B15" s="175"/>
      <c r="C15" s="179"/>
      <c r="D15" s="177"/>
      <c r="E15" s="177"/>
      <c r="F15" s="177"/>
      <c r="G15" s="177"/>
      <c r="H15" s="177"/>
      <c r="I15" s="177"/>
      <c r="J15" s="177"/>
      <c r="K15" s="177"/>
      <c r="L15" s="178"/>
    </row>
    <row r="16" spans="2:12" ht="15" x14ac:dyDescent="0.2">
      <c r="B16" s="175"/>
      <c r="C16" s="180" t="s">
        <v>70</v>
      </c>
      <c r="D16" s="177"/>
      <c r="E16" s="177"/>
      <c r="F16" s="177"/>
      <c r="G16" s="177"/>
      <c r="H16" s="177"/>
      <c r="I16" s="177"/>
      <c r="J16" s="177"/>
      <c r="K16" s="177"/>
      <c r="L16" s="178"/>
    </row>
    <row r="17" spans="2:12" ht="15" x14ac:dyDescent="0.2">
      <c r="B17" s="175"/>
      <c r="C17" s="181" t="s">
        <v>82</v>
      </c>
      <c r="D17" s="177"/>
      <c r="E17" s="177"/>
      <c r="F17" s="177"/>
      <c r="G17" s="177"/>
      <c r="H17" s="177"/>
      <c r="I17" s="177"/>
      <c r="J17" s="177"/>
      <c r="K17" s="177"/>
      <c r="L17" s="178"/>
    </row>
    <row r="18" spans="2:12" ht="15" x14ac:dyDescent="0.2">
      <c r="B18" s="175"/>
      <c r="C18" s="181" t="s">
        <v>71</v>
      </c>
      <c r="D18" s="177"/>
      <c r="E18" s="177"/>
      <c r="F18" s="177"/>
      <c r="G18" s="177"/>
      <c r="H18" s="177"/>
      <c r="I18" s="177"/>
      <c r="J18" s="177"/>
      <c r="K18" s="177"/>
      <c r="L18" s="178"/>
    </row>
    <row r="19" spans="2:12" x14ac:dyDescent="0.2">
      <c r="B19" s="175"/>
      <c r="C19" s="177"/>
      <c r="D19" s="177"/>
      <c r="E19" s="177"/>
      <c r="F19" s="177"/>
      <c r="G19" s="177"/>
      <c r="H19" s="177"/>
      <c r="I19" s="177"/>
      <c r="J19" s="177"/>
      <c r="K19" s="177"/>
      <c r="L19" s="178"/>
    </row>
    <row r="20" spans="2:12" x14ac:dyDescent="0.2">
      <c r="B20" s="175"/>
      <c r="C20" s="177"/>
      <c r="D20" s="177"/>
      <c r="E20" s="177"/>
      <c r="F20" s="177"/>
      <c r="G20" s="177"/>
      <c r="H20" s="177"/>
      <c r="I20" s="177"/>
      <c r="J20" s="177"/>
      <c r="K20" s="177"/>
      <c r="L20" s="178"/>
    </row>
    <row r="21" spans="2:12" x14ac:dyDescent="0.2">
      <c r="B21" s="175"/>
      <c r="C21" s="177"/>
      <c r="D21" s="177"/>
      <c r="E21" s="177"/>
      <c r="F21" s="177"/>
      <c r="G21" s="177"/>
      <c r="H21" s="177"/>
      <c r="I21" s="177"/>
      <c r="J21" s="177"/>
      <c r="K21" s="177"/>
      <c r="L21" s="178"/>
    </row>
    <row r="22" spans="2:12" x14ac:dyDescent="0.2">
      <c r="B22" s="175"/>
      <c r="C22" s="177"/>
      <c r="D22" s="177"/>
      <c r="E22" s="177"/>
      <c r="F22" s="177"/>
      <c r="G22" s="177"/>
      <c r="H22" s="177"/>
      <c r="I22" s="177"/>
      <c r="J22" s="177"/>
      <c r="K22" s="177"/>
      <c r="L22" s="178"/>
    </row>
    <row r="23" spans="2:12" x14ac:dyDescent="0.2">
      <c r="B23" s="175"/>
      <c r="C23" s="177"/>
      <c r="D23" s="177"/>
      <c r="E23" s="177"/>
      <c r="F23" s="177"/>
      <c r="G23" s="177"/>
      <c r="H23" s="177"/>
      <c r="I23" s="177"/>
      <c r="J23" s="177"/>
      <c r="K23" s="177"/>
      <c r="L23" s="178"/>
    </row>
    <row r="24" spans="2:12" ht="15" x14ac:dyDescent="0.2">
      <c r="B24" s="175"/>
      <c r="C24" s="296" t="s">
        <v>176</v>
      </c>
      <c r="D24" s="296"/>
      <c r="E24" s="296"/>
      <c r="F24" s="296"/>
      <c r="G24" s="296"/>
      <c r="H24" s="296"/>
      <c r="I24" s="296"/>
      <c r="J24" s="296"/>
      <c r="K24" s="296"/>
      <c r="L24" s="178"/>
    </row>
    <row r="25" spans="2:12" x14ac:dyDescent="0.2">
      <c r="B25" s="175"/>
      <c r="C25" s="177"/>
      <c r="D25" s="177" t="s">
        <v>83</v>
      </c>
      <c r="E25" s="177"/>
      <c r="F25" s="177"/>
      <c r="G25" s="177"/>
      <c r="H25" s="177"/>
      <c r="I25" s="177"/>
      <c r="J25" s="177"/>
      <c r="K25" s="177"/>
      <c r="L25" s="178"/>
    </row>
    <row r="26" spans="2:12" x14ac:dyDescent="0.2">
      <c r="B26" s="175"/>
      <c r="C26" s="177"/>
      <c r="D26" s="177"/>
      <c r="E26" s="177"/>
      <c r="F26" s="177"/>
      <c r="G26" s="177"/>
      <c r="H26" s="177"/>
      <c r="I26" s="177"/>
      <c r="J26" s="177"/>
      <c r="K26" s="177"/>
      <c r="L26" s="178"/>
    </row>
    <row r="27" spans="2:12" x14ac:dyDescent="0.2">
      <c r="B27" s="175"/>
      <c r="C27" s="177"/>
      <c r="D27" s="177"/>
      <c r="E27" s="177"/>
      <c r="F27" s="177"/>
      <c r="G27" s="177"/>
      <c r="H27" s="177"/>
      <c r="I27" s="177"/>
      <c r="J27" s="177"/>
      <c r="K27" s="177"/>
      <c r="L27" s="178"/>
    </row>
    <row r="28" spans="2:12" x14ac:dyDescent="0.2">
      <c r="B28" s="175"/>
      <c r="C28" s="177"/>
      <c r="D28" s="177"/>
      <c r="E28" s="177"/>
      <c r="F28" s="177"/>
      <c r="G28" s="177"/>
      <c r="H28" s="177"/>
      <c r="I28" s="177"/>
      <c r="J28" s="177"/>
      <c r="K28" s="177"/>
      <c r="L28" s="178"/>
    </row>
    <row r="29" spans="2:12" x14ac:dyDescent="0.2">
      <c r="B29" s="175"/>
      <c r="C29" s="177"/>
      <c r="D29" s="177"/>
      <c r="E29" s="177"/>
      <c r="F29" s="177"/>
      <c r="G29" s="177"/>
      <c r="H29" s="177"/>
      <c r="I29" s="177"/>
      <c r="J29" s="177"/>
      <c r="K29" s="177"/>
      <c r="L29" s="178"/>
    </row>
    <row r="30" spans="2:12" x14ac:dyDescent="0.2">
      <c r="B30" s="175"/>
      <c r="C30" s="177"/>
      <c r="D30" s="177"/>
      <c r="E30" s="177"/>
      <c r="F30" s="177"/>
      <c r="G30" s="177"/>
      <c r="H30" s="177"/>
      <c r="I30" s="177"/>
      <c r="J30" s="177"/>
      <c r="K30" s="177"/>
      <c r="L30" s="178"/>
    </row>
    <row r="31" spans="2:12" ht="15.75" x14ac:dyDescent="0.2">
      <c r="B31" s="175"/>
      <c r="C31" s="293" t="s">
        <v>177</v>
      </c>
      <c r="D31" s="294"/>
      <c r="E31" s="294"/>
      <c r="F31" s="294"/>
      <c r="G31" s="294"/>
      <c r="H31" s="294"/>
      <c r="I31" s="294"/>
      <c r="J31" s="294"/>
      <c r="K31" s="177"/>
      <c r="L31" s="178"/>
    </row>
    <row r="32" spans="2:12" ht="15.75" x14ac:dyDescent="0.25">
      <c r="B32" s="175"/>
      <c r="C32" s="177"/>
      <c r="D32" s="182"/>
      <c r="E32" s="177"/>
      <c r="F32" s="177"/>
      <c r="G32" s="177"/>
      <c r="H32" s="177"/>
      <c r="I32" s="177"/>
      <c r="J32" s="177"/>
      <c r="K32" s="177"/>
      <c r="L32" s="178"/>
    </row>
    <row r="33" spans="2:12" x14ac:dyDescent="0.2">
      <c r="B33" s="175"/>
      <c r="C33" s="177"/>
      <c r="D33" s="177"/>
      <c r="E33" s="177"/>
      <c r="F33" s="177"/>
      <c r="G33" s="177"/>
      <c r="H33" s="177"/>
      <c r="I33" s="177"/>
      <c r="J33" s="177"/>
      <c r="K33" s="177"/>
      <c r="L33" s="178"/>
    </row>
    <row r="34" spans="2:12" x14ac:dyDescent="0.2">
      <c r="B34" s="175"/>
      <c r="C34" s="177"/>
      <c r="D34" s="177"/>
      <c r="E34" s="177"/>
      <c r="F34" s="177"/>
      <c r="G34" s="177"/>
      <c r="H34" s="177"/>
      <c r="I34" s="177"/>
      <c r="J34" s="177"/>
      <c r="K34" s="177"/>
      <c r="L34" s="178"/>
    </row>
    <row r="35" spans="2:12" x14ac:dyDescent="0.2">
      <c r="B35" s="175"/>
      <c r="C35" s="177"/>
      <c r="D35" s="177"/>
      <c r="E35" s="177"/>
      <c r="F35" s="177"/>
      <c r="G35" s="177"/>
      <c r="H35" s="177"/>
      <c r="I35" s="177"/>
      <c r="J35" s="177"/>
      <c r="K35" s="177"/>
      <c r="L35" s="178"/>
    </row>
    <row r="36" spans="2:12" x14ac:dyDescent="0.2">
      <c r="B36" s="175"/>
      <c r="C36" s="177"/>
      <c r="D36" s="177"/>
      <c r="E36" s="177"/>
      <c r="F36" s="177"/>
      <c r="G36" s="177"/>
      <c r="H36" s="177"/>
      <c r="I36" s="177"/>
      <c r="J36" s="177"/>
      <c r="K36" s="177"/>
      <c r="L36" s="178"/>
    </row>
    <row r="37" spans="2:12" x14ac:dyDescent="0.2">
      <c r="B37" s="175"/>
      <c r="C37" s="177"/>
      <c r="D37" s="177"/>
      <c r="E37" s="177"/>
      <c r="F37" s="177"/>
      <c r="G37" s="177"/>
      <c r="H37" s="177"/>
      <c r="I37" s="177"/>
      <c r="J37" s="177"/>
      <c r="K37" s="177"/>
      <c r="L37" s="178"/>
    </row>
    <row r="38" spans="2:12" x14ac:dyDescent="0.2">
      <c r="B38" s="175"/>
      <c r="C38" s="177"/>
      <c r="D38" s="177"/>
      <c r="E38" s="177"/>
      <c r="F38" s="177"/>
      <c r="G38" s="177"/>
      <c r="H38" s="177"/>
      <c r="I38" s="177"/>
      <c r="J38" s="177"/>
      <c r="K38" s="177"/>
      <c r="L38" s="178"/>
    </row>
    <row r="39" spans="2:12" x14ac:dyDescent="0.2">
      <c r="B39" s="175"/>
      <c r="C39" s="177"/>
      <c r="D39" s="177"/>
      <c r="E39" s="177"/>
      <c r="F39" s="177"/>
      <c r="G39" s="177"/>
      <c r="H39" s="177"/>
      <c r="I39" s="177"/>
      <c r="J39" s="177"/>
      <c r="K39" s="177"/>
      <c r="L39" s="178"/>
    </row>
    <row r="40" spans="2:12" x14ac:dyDescent="0.2">
      <c r="B40" s="175"/>
      <c r="C40" s="177"/>
      <c r="D40" s="177"/>
      <c r="E40" s="177"/>
      <c r="F40" s="177"/>
      <c r="G40" s="177"/>
      <c r="H40" s="177"/>
      <c r="I40" s="177"/>
      <c r="J40" s="177"/>
      <c r="K40" s="177"/>
      <c r="L40" s="178"/>
    </row>
    <row r="41" spans="2:12" x14ac:dyDescent="0.2">
      <c r="B41" s="175"/>
      <c r="C41" s="177"/>
      <c r="D41" s="177"/>
      <c r="E41" s="177"/>
      <c r="F41" s="177"/>
      <c r="G41" s="177"/>
      <c r="H41" s="177"/>
      <c r="I41" s="177"/>
      <c r="J41" s="177"/>
      <c r="K41" s="177"/>
      <c r="L41" s="178"/>
    </row>
    <row r="42" spans="2:12" x14ac:dyDescent="0.2">
      <c r="B42" s="175"/>
      <c r="C42" s="177"/>
      <c r="D42" s="177"/>
      <c r="E42" s="177"/>
      <c r="F42" s="177"/>
      <c r="G42" s="177"/>
      <c r="H42" s="177"/>
      <c r="I42" s="177"/>
      <c r="J42" s="177"/>
      <c r="K42" s="177"/>
      <c r="L42" s="178"/>
    </row>
    <row r="43" spans="2:12" x14ac:dyDescent="0.2">
      <c r="B43" s="175"/>
      <c r="C43" s="177"/>
      <c r="D43" s="177"/>
      <c r="E43" s="177"/>
      <c r="F43" s="177"/>
      <c r="G43" s="177"/>
      <c r="H43" s="177"/>
      <c r="I43" s="177"/>
      <c r="J43" s="177"/>
      <c r="K43" s="177"/>
      <c r="L43" s="178"/>
    </row>
    <row r="44" spans="2:12" x14ac:dyDescent="0.2">
      <c r="B44" s="175"/>
      <c r="C44" s="177"/>
      <c r="D44" s="177"/>
      <c r="E44" s="177"/>
      <c r="F44" s="177"/>
      <c r="G44" s="177"/>
      <c r="H44" s="177"/>
      <c r="I44" s="177"/>
      <c r="J44" s="177"/>
      <c r="K44" s="177"/>
      <c r="L44" s="178"/>
    </row>
    <row r="45" spans="2:12" ht="15" x14ac:dyDescent="0.2">
      <c r="B45" s="175"/>
      <c r="C45" s="296" t="s">
        <v>178</v>
      </c>
      <c r="D45" s="296"/>
      <c r="E45" s="296"/>
      <c r="F45" s="296"/>
      <c r="G45" s="296"/>
      <c r="H45" s="296"/>
      <c r="I45" s="296"/>
      <c r="J45" s="296"/>
      <c r="K45" s="296"/>
      <c r="L45" s="178"/>
    </row>
    <row r="46" spans="2:12" x14ac:dyDescent="0.2">
      <c r="B46" s="175"/>
      <c r="C46" s="177"/>
      <c r="D46" s="177" t="s">
        <v>179</v>
      </c>
      <c r="E46" s="177"/>
      <c r="F46" s="177"/>
      <c r="G46" s="177"/>
      <c r="H46" s="177"/>
      <c r="I46" s="177"/>
      <c r="J46" s="177"/>
      <c r="K46" s="177"/>
      <c r="L46" s="178"/>
    </row>
    <row r="47" spans="2:12" x14ac:dyDescent="0.2">
      <c r="B47" s="175"/>
      <c r="C47" s="177"/>
      <c r="D47" s="177"/>
      <c r="E47" s="177"/>
      <c r="F47" s="177"/>
      <c r="G47" s="177"/>
      <c r="H47" s="177"/>
      <c r="I47" s="177"/>
      <c r="J47" s="177"/>
      <c r="K47" s="177"/>
      <c r="L47" s="178"/>
    </row>
    <row r="48" spans="2:12" x14ac:dyDescent="0.2">
      <c r="B48" s="175"/>
      <c r="C48" s="177"/>
      <c r="D48" s="177"/>
      <c r="E48" s="177"/>
      <c r="F48" s="177"/>
      <c r="G48" s="177"/>
      <c r="H48" s="177"/>
      <c r="I48" s="177"/>
      <c r="J48" s="177"/>
      <c r="K48" s="177"/>
      <c r="L48" s="178"/>
    </row>
    <row r="49" spans="2:12" x14ac:dyDescent="0.2">
      <c r="B49" s="175"/>
      <c r="C49" s="177"/>
      <c r="D49" s="177"/>
      <c r="E49" s="177"/>
      <c r="F49" s="177"/>
      <c r="G49" s="177"/>
      <c r="H49" s="177"/>
      <c r="I49" s="177"/>
      <c r="J49" s="177"/>
      <c r="K49" s="177"/>
      <c r="L49" s="178"/>
    </row>
    <row r="50" spans="2:12" x14ac:dyDescent="0.2">
      <c r="B50" s="175"/>
      <c r="C50" s="177"/>
      <c r="D50" s="177"/>
      <c r="E50" s="177"/>
      <c r="F50" s="177"/>
      <c r="G50" s="177"/>
      <c r="H50" s="177"/>
      <c r="I50" s="177"/>
      <c r="J50" s="177"/>
      <c r="K50" s="177"/>
      <c r="L50" s="178"/>
    </row>
    <row r="51" spans="2:12" x14ac:dyDescent="0.2">
      <c r="B51" s="175"/>
      <c r="C51" s="177"/>
      <c r="D51" s="177"/>
      <c r="E51" s="177"/>
      <c r="F51" s="177"/>
      <c r="G51" s="177"/>
      <c r="H51" s="177"/>
      <c r="I51" s="177"/>
      <c r="J51" s="177"/>
      <c r="K51" s="177"/>
      <c r="L51" s="178"/>
    </row>
    <row r="52" spans="2:12" ht="15" x14ac:dyDescent="0.2">
      <c r="B52" s="175"/>
      <c r="C52" s="181" t="s">
        <v>72</v>
      </c>
      <c r="D52" s="297"/>
      <c r="E52" s="297"/>
      <c r="F52" s="297"/>
      <c r="G52" s="297"/>
      <c r="H52" s="297"/>
      <c r="I52" s="297"/>
      <c r="J52" s="297"/>
      <c r="K52" s="297"/>
      <c r="L52" s="178"/>
    </row>
    <row r="53" spans="2:12" ht="15" customHeight="1" x14ac:dyDescent="0.2">
      <c r="B53" s="175"/>
      <c r="C53" s="293" t="s">
        <v>180</v>
      </c>
      <c r="D53" s="294"/>
      <c r="E53" s="294"/>
      <c r="F53" s="294"/>
      <c r="G53" s="294"/>
      <c r="H53" s="294"/>
      <c r="I53" s="294"/>
      <c r="J53" s="294"/>
      <c r="K53" s="177"/>
      <c r="L53" s="178"/>
    </row>
    <row r="54" spans="2:12" ht="15.75" x14ac:dyDescent="0.25">
      <c r="B54" s="175"/>
      <c r="C54" s="177"/>
      <c r="D54" s="182"/>
      <c r="E54" s="177"/>
      <c r="F54" s="177"/>
      <c r="G54" s="177"/>
      <c r="H54" s="177"/>
      <c r="I54" s="177"/>
      <c r="J54" s="177"/>
      <c r="K54" s="177"/>
      <c r="L54" s="178"/>
    </row>
    <row r="55" spans="2:12" x14ac:dyDescent="0.2">
      <c r="B55" s="175"/>
      <c r="C55" s="177"/>
      <c r="D55" s="177"/>
      <c r="E55" s="177"/>
      <c r="F55" s="177"/>
      <c r="G55" s="177"/>
      <c r="H55" s="177"/>
      <c r="I55" s="177"/>
      <c r="J55" s="177"/>
      <c r="K55" s="177"/>
      <c r="L55" s="178"/>
    </row>
    <row r="56" spans="2:12" x14ac:dyDescent="0.2">
      <c r="B56" s="175"/>
      <c r="C56" s="177"/>
      <c r="D56" s="177"/>
      <c r="E56" s="177"/>
      <c r="F56" s="177"/>
      <c r="G56" s="177"/>
      <c r="H56" s="177"/>
      <c r="I56" s="177"/>
      <c r="J56" s="177"/>
      <c r="K56" s="177"/>
      <c r="L56" s="178"/>
    </row>
    <row r="57" spans="2:12" x14ac:dyDescent="0.2">
      <c r="B57" s="175"/>
      <c r="C57" s="177"/>
      <c r="D57" s="177"/>
      <c r="E57" s="177"/>
      <c r="F57" s="177"/>
      <c r="G57" s="177"/>
      <c r="H57" s="177"/>
      <c r="I57" s="177"/>
      <c r="J57" s="177"/>
      <c r="K57" s="177"/>
      <c r="L57" s="178"/>
    </row>
    <row r="58" spans="2:12" x14ac:dyDescent="0.2">
      <c r="B58" s="175"/>
      <c r="C58" s="177"/>
      <c r="D58" s="177"/>
      <c r="E58" s="177"/>
      <c r="F58" s="177"/>
      <c r="G58" s="177"/>
      <c r="H58" s="177"/>
      <c r="I58" s="177"/>
      <c r="J58" s="177"/>
      <c r="K58" s="177"/>
      <c r="L58" s="178"/>
    </row>
    <row r="59" spans="2:12" x14ac:dyDescent="0.2">
      <c r="B59" s="175"/>
      <c r="C59" s="177"/>
      <c r="D59" s="177"/>
      <c r="E59" s="177"/>
      <c r="F59" s="177"/>
      <c r="G59" s="177"/>
      <c r="H59" s="177"/>
      <c r="I59" s="177"/>
      <c r="J59" s="177"/>
      <c r="K59" s="177"/>
      <c r="L59" s="178"/>
    </row>
    <row r="60" spans="2:12" x14ac:dyDescent="0.2">
      <c r="B60" s="175"/>
      <c r="C60" s="177"/>
      <c r="D60" s="177"/>
      <c r="E60" s="177"/>
      <c r="F60" s="177"/>
      <c r="G60" s="177"/>
      <c r="H60" s="177"/>
      <c r="I60" s="177"/>
      <c r="J60" s="177"/>
      <c r="K60" s="177"/>
      <c r="L60" s="178"/>
    </row>
    <row r="61" spans="2:12" x14ac:dyDescent="0.2">
      <c r="B61" s="175"/>
      <c r="C61" s="177"/>
      <c r="D61" s="177"/>
      <c r="E61" s="177"/>
      <c r="F61" s="177"/>
      <c r="G61" s="177"/>
      <c r="H61" s="177"/>
      <c r="I61" s="177"/>
      <c r="J61" s="177"/>
      <c r="K61" s="177"/>
      <c r="L61" s="178"/>
    </row>
    <row r="62" spans="2:12" x14ac:dyDescent="0.2">
      <c r="B62" s="175"/>
      <c r="C62" s="177"/>
      <c r="D62" s="177"/>
      <c r="E62" s="177"/>
      <c r="F62" s="177"/>
      <c r="G62" s="177"/>
      <c r="H62" s="177"/>
      <c r="I62" s="177"/>
      <c r="J62" s="177"/>
      <c r="K62" s="177"/>
      <c r="L62" s="178"/>
    </row>
    <row r="63" spans="2:12" x14ac:dyDescent="0.2">
      <c r="B63" s="175"/>
      <c r="C63" s="177"/>
      <c r="D63" s="177"/>
      <c r="E63" s="177"/>
      <c r="F63" s="177"/>
      <c r="G63" s="177"/>
      <c r="H63" s="177"/>
      <c r="I63" s="177"/>
      <c r="J63" s="177"/>
      <c r="K63" s="177"/>
      <c r="L63" s="178"/>
    </row>
    <row r="64" spans="2:12" x14ac:dyDescent="0.2">
      <c r="B64" s="175"/>
      <c r="C64" s="177"/>
      <c r="D64" s="177"/>
      <c r="E64" s="177"/>
      <c r="F64" s="177"/>
      <c r="G64" s="177"/>
      <c r="H64" s="177"/>
      <c r="I64" s="177"/>
      <c r="J64" s="177"/>
      <c r="K64" s="177"/>
      <c r="L64" s="178"/>
    </row>
    <row r="65" spans="2:12" x14ac:dyDescent="0.2">
      <c r="B65" s="175"/>
      <c r="C65" s="177"/>
      <c r="D65" s="177"/>
      <c r="E65" s="177"/>
      <c r="F65" s="177"/>
      <c r="G65" s="177"/>
      <c r="H65" s="177"/>
      <c r="I65" s="177"/>
      <c r="J65" s="177"/>
      <c r="K65" s="177"/>
      <c r="L65" s="178"/>
    </row>
    <row r="66" spans="2:12" x14ac:dyDescent="0.2">
      <c r="B66" s="175"/>
      <c r="C66" s="177"/>
      <c r="D66" s="177"/>
      <c r="E66" s="177"/>
      <c r="F66" s="177"/>
      <c r="G66" s="177"/>
      <c r="H66" s="177"/>
      <c r="I66" s="177"/>
      <c r="J66" s="177"/>
      <c r="K66" s="177"/>
      <c r="L66" s="178"/>
    </row>
    <row r="67" spans="2:12" ht="36" customHeight="1" x14ac:dyDescent="0.2">
      <c r="B67" s="175"/>
      <c r="C67" s="298" t="s">
        <v>73</v>
      </c>
      <c r="D67" s="298"/>
      <c r="E67" s="298"/>
      <c r="F67" s="298"/>
      <c r="G67" s="298"/>
      <c r="H67" s="298"/>
      <c r="I67" s="298"/>
      <c r="J67" s="298"/>
      <c r="K67" s="298"/>
      <c r="L67" s="178"/>
    </row>
    <row r="68" spans="2:12" x14ac:dyDescent="0.2">
      <c r="B68" s="175"/>
      <c r="C68" s="177"/>
      <c r="D68" s="177"/>
      <c r="E68" s="177"/>
      <c r="F68" s="177"/>
      <c r="G68" s="177"/>
      <c r="H68" s="177"/>
      <c r="I68" s="177"/>
      <c r="J68" s="177"/>
      <c r="K68" s="177"/>
      <c r="L68" s="178"/>
    </row>
    <row r="69" spans="2:12" x14ac:dyDescent="0.2">
      <c r="B69" s="175"/>
      <c r="C69" s="177"/>
      <c r="D69" s="177"/>
      <c r="E69" s="177"/>
      <c r="F69" s="177"/>
      <c r="G69" s="177"/>
      <c r="H69" s="177"/>
      <c r="I69" s="177"/>
      <c r="J69" s="177"/>
      <c r="K69" s="177"/>
      <c r="L69" s="178"/>
    </row>
    <row r="70" spans="2:12" ht="15" x14ac:dyDescent="0.2">
      <c r="B70" s="175"/>
      <c r="C70" s="176" t="s">
        <v>74</v>
      </c>
      <c r="E70" s="177"/>
      <c r="F70" s="177"/>
      <c r="G70" s="177"/>
      <c r="H70" s="177"/>
      <c r="I70" s="177"/>
      <c r="J70" s="177"/>
      <c r="K70" s="177"/>
      <c r="L70" s="178"/>
    </row>
    <row r="71" spans="2:12" ht="15" x14ac:dyDescent="0.2">
      <c r="B71" s="175"/>
      <c r="C71" s="176"/>
      <c r="E71" s="177"/>
      <c r="F71" s="177"/>
      <c r="G71" s="177"/>
      <c r="H71" s="177"/>
      <c r="I71" s="177"/>
      <c r="J71" s="177"/>
      <c r="K71" s="177"/>
      <c r="L71" s="178"/>
    </row>
    <row r="72" spans="2:12" ht="15" x14ac:dyDescent="0.2">
      <c r="B72" s="175"/>
      <c r="C72" s="179" t="s">
        <v>75</v>
      </c>
      <c r="E72" s="177"/>
      <c r="F72" s="177"/>
      <c r="G72" s="177"/>
      <c r="H72" s="177"/>
      <c r="I72" s="177"/>
      <c r="J72" s="177"/>
      <c r="K72" s="177"/>
      <c r="L72" s="178"/>
    </row>
    <row r="73" spans="2:12" ht="15" x14ac:dyDescent="0.2">
      <c r="B73" s="175"/>
      <c r="C73" s="179"/>
      <c r="E73" s="177"/>
      <c r="F73" s="177"/>
      <c r="G73" s="177"/>
      <c r="H73" s="177"/>
      <c r="I73" s="177"/>
      <c r="J73" s="177"/>
      <c r="K73" s="177"/>
      <c r="L73" s="178"/>
    </row>
    <row r="74" spans="2:12" ht="34.5" customHeight="1" x14ac:dyDescent="0.2">
      <c r="B74" s="175"/>
      <c r="C74" s="299" t="s">
        <v>76</v>
      </c>
      <c r="D74" s="299"/>
      <c r="E74" s="299"/>
      <c r="F74" s="299"/>
      <c r="G74" s="299"/>
      <c r="H74" s="299"/>
      <c r="I74" s="299"/>
      <c r="J74" s="299"/>
      <c r="K74" s="299"/>
      <c r="L74" s="178"/>
    </row>
    <row r="75" spans="2:12" ht="15" x14ac:dyDescent="0.2">
      <c r="B75" s="175"/>
      <c r="C75" s="179"/>
      <c r="E75" s="177"/>
      <c r="F75" s="177"/>
      <c r="G75" s="177"/>
      <c r="H75" s="177"/>
      <c r="I75" s="177"/>
      <c r="J75" s="177"/>
      <c r="K75" s="177"/>
      <c r="L75" s="178"/>
    </row>
    <row r="76" spans="2:12" ht="15" x14ac:dyDescent="0.2">
      <c r="B76" s="175"/>
      <c r="C76" s="179" t="s">
        <v>88</v>
      </c>
      <c r="E76" s="177"/>
      <c r="F76" s="177"/>
      <c r="G76" s="177"/>
      <c r="H76" s="177"/>
      <c r="I76" s="177"/>
      <c r="J76" s="177"/>
      <c r="K76" s="177"/>
      <c r="L76" s="178"/>
    </row>
    <row r="77" spans="2:12" ht="15" x14ac:dyDescent="0.2">
      <c r="B77" s="175"/>
      <c r="C77" s="179"/>
      <c r="E77" s="177"/>
      <c r="F77" s="177"/>
      <c r="G77" s="177"/>
      <c r="H77" s="177"/>
      <c r="I77" s="177"/>
      <c r="J77" s="177"/>
      <c r="K77" s="177"/>
      <c r="L77" s="178"/>
    </row>
    <row r="78" spans="2:12" ht="15" x14ac:dyDescent="0.2">
      <c r="B78" s="175"/>
      <c r="C78" s="179" t="s">
        <v>77</v>
      </c>
      <c r="E78" s="177"/>
      <c r="F78" s="177"/>
      <c r="G78" s="177"/>
      <c r="H78" s="177"/>
      <c r="I78" s="177"/>
      <c r="J78" s="177"/>
      <c r="K78" s="177"/>
      <c r="L78" s="178"/>
    </row>
    <row r="79" spans="2:12" x14ac:dyDescent="0.2">
      <c r="B79" s="175"/>
      <c r="L79" s="178"/>
    </row>
    <row r="80" spans="2:12" ht="15" x14ac:dyDescent="0.2">
      <c r="B80" s="175"/>
      <c r="C80" s="179" t="s">
        <v>85</v>
      </c>
      <c r="D80" s="177"/>
      <c r="E80" s="177"/>
      <c r="F80" s="177"/>
      <c r="G80" s="177"/>
      <c r="H80" s="177"/>
      <c r="I80" s="177"/>
      <c r="J80" s="177"/>
      <c r="L80" s="178"/>
    </row>
    <row r="81" spans="2:12" ht="15" x14ac:dyDescent="0.2">
      <c r="B81" s="175"/>
      <c r="C81" s="179" t="s">
        <v>181</v>
      </c>
      <c r="D81" s="177"/>
      <c r="E81" s="177"/>
      <c r="F81" s="177"/>
      <c r="G81" s="177"/>
      <c r="H81" s="177"/>
      <c r="I81" s="177"/>
      <c r="J81" s="177"/>
      <c r="L81" s="178"/>
    </row>
    <row r="82" spans="2:12" ht="15" x14ac:dyDescent="0.2">
      <c r="B82" s="175"/>
      <c r="C82" s="179" t="s">
        <v>182</v>
      </c>
      <c r="D82" s="177"/>
      <c r="E82" s="177"/>
      <c r="F82" s="177"/>
      <c r="G82" s="177"/>
      <c r="H82" s="177"/>
      <c r="I82" s="177"/>
      <c r="J82" s="177"/>
      <c r="L82" s="178"/>
    </row>
    <row r="83" spans="2:12" ht="15" x14ac:dyDescent="0.2">
      <c r="B83" s="175"/>
      <c r="C83" s="299" t="s">
        <v>86</v>
      </c>
      <c r="D83" s="299"/>
      <c r="E83" s="299"/>
      <c r="F83" s="299"/>
      <c r="G83" s="299"/>
      <c r="H83" s="299"/>
      <c r="I83" s="299"/>
      <c r="J83" s="299"/>
      <c r="K83" s="299"/>
      <c r="L83" s="178"/>
    </row>
    <row r="84" spans="2:12" ht="35.25" customHeight="1" x14ac:dyDescent="0.2">
      <c r="B84" s="183"/>
      <c r="C84" s="295" t="s">
        <v>87</v>
      </c>
      <c r="D84" s="295"/>
      <c r="E84" s="295"/>
      <c r="F84" s="295"/>
      <c r="G84" s="295"/>
      <c r="H84" s="295"/>
      <c r="I84" s="295"/>
      <c r="J84" s="295"/>
      <c r="K84" s="295"/>
      <c r="L84" s="184"/>
    </row>
    <row r="85" spans="2:12" ht="15" x14ac:dyDescent="0.2">
      <c r="B85" s="183"/>
      <c r="C85" s="179" t="s">
        <v>89</v>
      </c>
      <c r="D85" s="185"/>
      <c r="E85" s="185"/>
      <c r="F85" s="185"/>
      <c r="G85" s="185"/>
      <c r="H85" s="185"/>
      <c r="I85" s="185"/>
      <c r="J85" s="185"/>
      <c r="L85" s="184"/>
    </row>
    <row r="86" spans="2:12" ht="15.75" x14ac:dyDescent="0.25">
      <c r="B86" s="183"/>
      <c r="C86" s="189" t="s">
        <v>90</v>
      </c>
      <c r="D86" s="179"/>
      <c r="E86" s="185"/>
      <c r="F86" s="185"/>
      <c r="G86" s="185"/>
      <c r="H86" s="185"/>
      <c r="I86" s="185"/>
      <c r="J86" s="185"/>
      <c r="L86" s="184"/>
    </row>
    <row r="87" spans="2:12" ht="15" x14ac:dyDescent="0.2">
      <c r="B87" s="183"/>
      <c r="D87" s="179" t="s">
        <v>183</v>
      </c>
      <c r="E87" s="185"/>
      <c r="F87" s="185"/>
      <c r="G87" s="185"/>
      <c r="H87" s="185"/>
      <c r="I87" s="185"/>
      <c r="J87" s="185"/>
      <c r="K87" s="185"/>
      <c r="L87" s="184"/>
    </row>
    <row r="88" spans="2:12" ht="15" x14ac:dyDescent="0.2">
      <c r="B88" s="183"/>
      <c r="C88" s="179"/>
      <c r="E88" s="185"/>
      <c r="F88" s="185"/>
      <c r="G88" s="185"/>
      <c r="H88" s="185"/>
      <c r="I88" s="185"/>
      <c r="J88" s="185"/>
      <c r="K88" s="185"/>
      <c r="L88" s="184"/>
    </row>
    <row r="89" spans="2:12" ht="15" x14ac:dyDescent="0.2">
      <c r="B89" s="183"/>
      <c r="C89" s="176" t="s">
        <v>78</v>
      </c>
      <c r="E89" s="185"/>
      <c r="F89" s="185"/>
      <c r="G89" s="185"/>
      <c r="H89" s="185"/>
      <c r="I89" s="185"/>
      <c r="J89" s="185"/>
      <c r="K89" s="185"/>
      <c r="L89" s="184"/>
    </row>
    <row r="90" spans="2:12" ht="93.75" customHeight="1" x14ac:dyDescent="0.2">
      <c r="B90" s="183"/>
      <c r="C90" s="299" t="s">
        <v>79</v>
      </c>
      <c r="D90" s="299"/>
      <c r="E90" s="299"/>
      <c r="F90" s="299"/>
      <c r="G90" s="299"/>
      <c r="H90" s="299"/>
      <c r="I90" s="299"/>
      <c r="J90" s="299"/>
      <c r="K90" s="299"/>
      <c r="L90" s="184"/>
    </row>
    <row r="91" spans="2:12" ht="15" x14ac:dyDescent="0.2">
      <c r="B91" s="183"/>
      <c r="C91" s="179"/>
      <c r="E91" s="185"/>
      <c r="F91" s="185"/>
      <c r="G91" s="185"/>
      <c r="H91" s="185"/>
      <c r="I91" s="185"/>
      <c r="J91" s="185"/>
      <c r="K91" s="185"/>
      <c r="L91" s="184"/>
    </row>
    <row r="92" spans="2:12" ht="64.5" customHeight="1" x14ac:dyDescent="0.2">
      <c r="B92" s="183"/>
      <c r="C92" s="300" t="s">
        <v>80</v>
      </c>
      <c r="D92" s="300"/>
      <c r="E92" s="300"/>
      <c r="F92" s="300"/>
      <c r="G92" s="300"/>
      <c r="H92" s="300"/>
      <c r="I92" s="300"/>
      <c r="J92" s="300"/>
      <c r="K92" s="300"/>
      <c r="L92" s="184"/>
    </row>
    <row r="93" spans="2:12" ht="15" thickBot="1" x14ac:dyDescent="0.25">
      <c r="B93" s="186"/>
      <c r="C93" s="187"/>
      <c r="D93" s="187"/>
      <c r="E93" s="187"/>
      <c r="F93" s="187"/>
      <c r="G93" s="187"/>
      <c r="H93" s="187"/>
      <c r="I93" s="187"/>
      <c r="J93" s="187"/>
      <c r="K93" s="187"/>
      <c r="L93" s="188"/>
    </row>
  </sheetData>
  <sheetProtection selectLockedCells="1" selectUnlockedCells="1"/>
  <mergeCells count="12">
    <mergeCell ref="C67:K67"/>
    <mergeCell ref="C74:K74"/>
    <mergeCell ref="C83:K83"/>
    <mergeCell ref="C90:K90"/>
    <mergeCell ref="C92:K92"/>
    <mergeCell ref="C84:K84"/>
    <mergeCell ref="C53:J53"/>
    <mergeCell ref="C8:K8"/>
    <mergeCell ref="C24:K24"/>
    <mergeCell ref="C31:J31"/>
    <mergeCell ref="C45:K45"/>
    <mergeCell ref="D52:K52"/>
  </mergeCells>
  <phoneticPr fontId="61" type="noConversion"/>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K58"/>
  <sheetViews>
    <sheetView tabSelected="1" topLeftCell="B1" zoomScale="85" zoomScaleNormal="85" workbookViewId="0">
      <selection activeCell="U19" sqref="U19"/>
    </sheetView>
  </sheetViews>
  <sheetFormatPr defaultRowHeight="15.75" x14ac:dyDescent="0.25"/>
  <cols>
    <col min="1" max="1" width="9.140625" hidden="1" customWidth="1"/>
    <col min="4" max="4" width="14.5703125" customWidth="1"/>
    <col min="5" max="5" width="28.5703125" customWidth="1"/>
    <col min="6" max="6" width="0" hidden="1" customWidth="1"/>
    <col min="7" max="7" width="12.28515625" bestFit="1" customWidth="1"/>
    <col min="8" max="8" width="10.140625" customWidth="1"/>
    <col min="17" max="17" width="0" hidden="1" customWidth="1"/>
    <col min="18" max="18" width="9.7109375" bestFit="1" customWidth="1"/>
    <col min="20" max="20" width="10.85546875" bestFit="1" customWidth="1"/>
    <col min="24" max="25" width="10.28515625" bestFit="1" customWidth="1"/>
  </cols>
  <sheetData>
    <row r="1" spans="1:141" s="10" customFormat="1" ht="14.25" customHeight="1" x14ac:dyDescent="0.5">
      <c r="A1" s="5"/>
      <c r="B1" s="5"/>
      <c r="C1" s="6"/>
      <c r="D1" s="301" t="s">
        <v>106</v>
      </c>
      <c r="E1" s="301"/>
      <c r="F1" s="301"/>
      <c r="G1" s="301"/>
      <c r="H1" s="301"/>
      <c r="I1" s="301"/>
      <c r="J1" s="301"/>
      <c r="K1" s="301"/>
      <c r="L1" s="301"/>
      <c r="M1" s="301"/>
      <c r="N1" s="301"/>
      <c r="O1" s="7"/>
      <c r="P1" s="8"/>
      <c r="Q1" s="8"/>
      <c r="R1" s="6"/>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U1" s="11"/>
      <c r="DV1" s="11"/>
      <c r="DW1" s="11"/>
      <c r="DX1" s="11"/>
      <c r="DY1" s="11"/>
      <c r="DZ1" s="11"/>
      <c r="EA1" s="11"/>
      <c r="EB1" s="11"/>
      <c r="EC1" s="11"/>
      <c r="ED1" s="11"/>
      <c r="EE1" s="11"/>
      <c r="EF1" s="11"/>
      <c r="EG1" s="11"/>
      <c r="EH1" s="11"/>
      <c r="EI1" s="11"/>
      <c r="EJ1" s="11"/>
      <c r="EK1" s="11"/>
    </row>
    <row r="2" spans="1:141" s="10" customFormat="1" ht="14.25" customHeight="1" x14ac:dyDescent="0.5">
      <c r="A2" s="12"/>
      <c r="B2" s="12"/>
      <c r="D2" s="301"/>
      <c r="E2" s="301"/>
      <c r="F2" s="301"/>
      <c r="G2" s="301"/>
      <c r="H2" s="301"/>
      <c r="I2" s="301"/>
      <c r="J2" s="301"/>
      <c r="K2" s="301"/>
      <c r="L2" s="301"/>
      <c r="M2" s="301"/>
      <c r="N2" s="301"/>
      <c r="O2" s="7"/>
      <c r="P2" s="13"/>
      <c r="Q2" s="13"/>
      <c r="R2" s="14" t="s">
        <v>7</v>
      </c>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U2" s="11"/>
      <c r="DV2" s="11"/>
      <c r="DW2" s="11"/>
      <c r="DX2" s="11"/>
      <c r="DY2" s="11"/>
      <c r="DZ2" s="11"/>
      <c r="EA2" s="11"/>
      <c r="EB2" s="11"/>
      <c r="EC2" s="11"/>
      <c r="ED2" s="11"/>
      <c r="EE2" s="11"/>
      <c r="EF2" s="11"/>
      <c r="EG2" s="11"/>
      <c r="EH2" s="11"/>
      <c r="EI2" s="11"/>
      <c r="EJ2" s="11"/>
      <c r="EK2" s="11"/>
    </row>
    <row r="3" spans="1:141" s="10" customFormat="1" ht="13.9" customHeight="1" x14ac:dyDescent="0.5">
      <c r="A3" s="15"/>
      <c r="B3" s="15"/>
      <c r="C3" s="16"/>
      <c r="D3" s="302"/>
      <c r="E3" s="302"/>
      <c r="F3" s="302"/>
      <c r="G3" s="302"/>
      <c r="H3" s="302"/>
      <c r="I3" s="302"/>
      <c r="J3" s="302"/>
      <c r="K3" s="302"/>
      <c r="L3" s="302"/>
      <c r="M3" s="302"/>
      <c r="N3" s="302"/>
      <c r="O3" s="17"/>
      <c r="P3" s="18"/>
      <c r="Q3" s="18"/>
      <c r="R3" s="19">
        <v>44561</v>
      </c>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U3" s="11"/>
      <c r="DV3" s="11"/>
      <c r="DW3" s="11"/>
      <c r="DX3" s="11"/>
      <c r="DY3" s="11"/>
      <c r="DZ3" s="11"/>
      <c r="EA3" s="11"/>
      <c r="EB3" s="11"/>
      <c r="EC3" s="11"/>
      <c r="ED3" s="11"/>
      <c r="EE3" s="11"/>
      <c r="EF3" s="11"/>
      <c r="EG3" s="11"/>
      <c r="EH3" s="11"/>
      <c r="EI3" s="11"/>
      <c r="EJ3" s="11"/>
      <c r="EK3" s="11"/>
    </row>
    <row r="4" spans="1:141" s="10" customFormat="1" ht="18" x14ac:dyDescent="0.25">
      <c r="A4" s="20"/>
      <c r="B4" s="20"/>
      <c r="C4" s="21"/>
      <c r="D4" s="22" t="s">
        <v>62</v>
      </c>
      <c r="E4" s="23"/>
      <c r="F4" s="23"/>
      <c r="G4" s="24"/>
      <c r="H4" s="24"/>
      <c r="I4" s="23"/>
      <c r="J4" s="23"/>
      <c r="K4" s="24"/>
      <c r="L4" s="24"/>
      <c r="M4" s="24"/>
      <c r="N4" s="24"/>
      <c r="O4" s="24"/>
      <c r="P4" s="25"/>
      <c r="Q4" s="25"/>
      <c r="R4" s="25" t="s">
        <v>8</v>
      </c>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U4" s="11"/>
      <c r="DV4" s="11"/>
      <c r="DW4" s="11"/>
      <c r="DX4" s="11"/>
      <c r="DY4" s="11"/>
      <c r="DZ4" s="11"/>
      <c r="EA4" s="11"/>
      <c r="EB4" s="11"/>
      <c r="EC4" s="11"/>
      <c r="ED4" s="11"/>
      <c r="EE4" s="11"/>
      <c r="EF4" s="11"/>
      <c r="EG4" s="11"/>
      <c r="EH4" s="11"/>
      <c r="EI4" s="11"/>
      <c r="EJ4" s="11"/>
      <c r="EK4" s="11"/>
    </row>
    <row r="5" spans="1:141" s="10" customFormat="1" x14ac:dyDescent="0.25">
      <c r="A5" s="20"/>
      <c r="B5" s="20"/>
      <c r="C5" s="26"/>
      <c r="D5" s="27"/>
      <c r="E5" s="28"/>
      <c r="F5" s="28"/>
      <c r="G5" s="29"/>
      <c r="H5" s="29"/>
      <c r="I5" s="28"/>
      <c r="J5" s="28"/>
      <c r="K5" s="29"/>
      <c r="L5" s="29"/>
      <c r="M5" s="29"/>
      <c r="N5" s="29"/>
      <c r="O5" s="29"/>
      <c r="P5" s="29"/>
      <c r="Q5" s="29"/>
      <c r="R5" s="30"/>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U5" s="11"/>
      <c r="DV5" s="11"/>
      <c r="DW5" s="11"/>
      <c r="DX5" s="11"/>
      <c r="DY5" s="11"/>
      <c r="DZ5" s="11"/>
      <c r="EA5" s="11"/>
      <c r="EB5" s="11"/>
      <c r="EC5" s="11"/>
      <c r="ED5" s="11"/>
      <c r="EE5" s="11"/>
      <c r="EF5" s="11"/>
      <c r="EG5" s="11"/>
      <c r="EH5" s="11"/>
      <c r="EI5" s="11"/>
      <c r="EJ5" s="11"/>
      <c r="EK5" s="11"/>
    </row>
    <row r="6" spans="1:141" s="10" customFormat="1" x14ac:dyDescent="0.25">
      <c r="A6" s="20"/>
      <c r="B6" s="20"/>
      <c r="C6" s="26"/>
      <c r="D6" s="27"/>
      <c r="E6" s="31"/>
      <c r="F6" s="31"/>
      <c r="G6" s="32"/>
      <c r="H6" s="32" t="s">
        <v>81</v>
      </c>
      <c r="I6" s="303" t="s">
        <v>91</v>
      </c>
      <c r="J6" s="304"/>
      <c r="K6" s="304"/>
      <c r="L6" s="278" t="str">
        <f>IFERROR(INDEX(CCT_CRI[],MATCH(I6,CCT_CRI[Nominal CCT+CRI],0),2),"-")</f>
        <v>1827G</v>
      </c>
      <c r="M6" s="32"/>
      <c r="N6" s="32"/>
      <c r="O6" s="32"/>
      <c r="P6" s="32"/>
      <c r="Q6" s="32"/>
      <c r="R6" s="30"/>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U6" s="11"/>
      <c r="DV6" s="11"/>
      <c r="DW6" s="11"/>
      <c r="DX6" s="11"/>
      <c r="DY6" s="11"/>
      <c r="DZ6" s="11"/>
      <c r="EA6" s="11"/>
      <c r="EB6" s="11"/>
      <c r="EC6" s="11"/>
      <c r="ED6" s="11"/>
      <c r="EE6" s="11"/>
      <c r="EF6" s="11"/>
      <c r="EG6" s="11"/>
      <c r="EH6" s="11"/>
      <c r="EI6" s="11"/>
      <c r="EJ6" s="11"/>
      <c r="EK6" s="11"/>
    </row>
    <row r="7" spans="1:141" s="10" customFormat="1" x14ac:dyDescent="0.25">
      <c r="A7" s="20"/>
      <c r="B7" s="20"/>
      <c r="C7" s="26"/>
      <c r="D7" s="27"/>
      <c r="E7" s="31"/>
      <c r="F7" s="31"/>
      <c r="G7" s="32"/>
      <c r="H7" s="28"/>
      <c r="I7" s="29"/>
      <c r="J7" s="29"/>
      <c r="K7" s="29"/>
      <c r="L7" s="28"/>
      <c r="M7" s="32"/>
      <c r="N7" s="32"/>
      <c r="O7" s="32"/>
      <c r="P7" s="32"/>
      <c r="Q7" s="32"/>
      <c r="R7" s="30"/>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U7" s="11"/>
      <c r="DV7" s="11"/>
      <c r="DW7" s="11"/>
      <c r="DX7" s="11"/>
      <c r="DY7" s="11"/>
      <c r="DZ7" s="11"/>
      <c r="EA7" s="11"/>
      <c r="EB7" s="11"/>
      <c r="EC7" s="11"/>
      <c r="ED7" s="11"/>
      <c r="EE7" s="11"/>
      <c r="EF7" s="11"/>
      <c r="EG7" s="11"/>
      <c r="EH7" s="11"/>
      <c r="EI7" s="11"/>
      <c r="EJ7" s="11"/>
      <c r="EK7" s="11"/>
    </row>
    <row r="8" spans="1:141" s="10" customFormat="1" x14ac:dyDescent="0.25">
      <c r="A8" s="20"/>
      <c r="B8" s="20"/>
      <c r="C8" s="26"/>
      <c r="D8" s="27"/>
      <c r="E8" s="31"/>
      <c r="F8" s="31"/>
      <c r="G8" s="32"/>
      <c r="H8" s="32" t="s">
        <v>9</v>
      </c>
      <c r="I8" s="305">
        <v>25</v>
      </c>
      <c r="J8" s="306"/>
      <c r="K8" s="306"/>
      <c r="L8" s="33"/>
      <c r="M8" s="32"/>
      <c r="N8" s="32"/>
      <c r="O8" s="32"/>
      <c r="P8" s="32"/>
      <c r="Q8" s="32"/>
      <c r="R8" s="30"/>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U8" s="11"/>
      <c r="DV8" s="11"/>
      <c r="DW8" s="11"/>
      <c r="DX8" s="11"/>
      <c r="DY8" s="11"/>
      <c r="DZ8" s="11"/>
      <c r="EA8" s="11"/>
      <c r="EB8" s="11"/>
      <c r="EC8" s="11"/>
      <c r="ED8" s="11"/>
      <c r="EE8" s="11"/>
      <c r="EF8" s="11"/>
      <c r="EG8" s="11"/>
      <c r="EH8" s="11"/>
      <c r="EI8" s="11"/>
      <c r="EJ8" s="11"/>
      <c r="EK8" s="11"/>
    </row>
    <row r="9" spans="1:141" s="10" customFormat="1" x14ac:dyDescent="0.25">
      <c r="A9" s="20"/>
      <c r="B9" s="20"/>
      <c r="C9" s="26"/>
      <c r="D9" s="27"/>
      <c r="E9" s="31"/>
      <c r="F9" s="31"/>
      <c r="G9" s="32"/>
      <c r="H9" s="32"/>
      <c r="I9" s="31"/>
      <c r="J9" s="32"/>
      <c r="K9" s="32"/>
      <c r="L9" s="32"/>
      <c r="M9" s="32"/>
      <c r="N9" s="32"/>
      <c r="O9" s="32"/>
      <c r="P9" s="32"/>
      <c r="Q9" s="32"/>
      <c r="R9" s="30"/>
      <c r="S9" s="34"/>
      <c r="T9" s="34"/>
      <c r="U9" s="34"/>
      <c r="V9" s="34"/>
      <c r="W9" s="34"/>
      <c r="X9" s="34"/>
      <c r="Y9" s="34"/>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c r="DA9" s="9"/>
      <c r="DB9" s="9"/>
      <c r="DC9" s="9"/>
      <c r="DD9" s="9"/>
      <c r="DE9" s="9"/>
      <c r="DF9" s="9"/>
      <c r="DG9" s="9"/>
      <c r="DH9" s="9"/>
      <c r="DI9" s="9"/>
      <c r="DJ9" s="9"/>
      <c r="DK9" s="9"/>
      <c r="DL9" s="9"/>
      <c r="DM9" s="9"/>
      <c r="DN9" s="9"/>
      <c r="DO9" s="9"/>
      <c r="DP9" s="9"/>
      <c r="DQ9" s="9"/>
      <c r="DU9" s="11"/>
      <c r="DV9" s="11"/>
      <c r="DW9" s="11"/>
      <c r="DX9" s="11"/>
      <c r="DY9" s="11"/>
      <c r="DZ9" s="11"/>
      <c r="EA9" s="11"/>
      <c r="EB9" s="11"/>
      <c r="EC9" s="11"/>
      <c r="ED9" s="11"/>
      <c r="EE9" s="11"/>
      <c r="EF9" s="11"/>
      <c r="EG9" s="11"/>
      <c r="EH9" s="11"/>
      <c r="EI9" s="11"/>
      <c r="EJ9" s="11"/>
      <c r="EK9" s="11"/>
    </row>
    <row r="10" spans="1:141" s="10" customFormat="1" x14ac:dyDescent="0.25">
      <c r="A10" s="20"/>
      <c r="B10" s="20"/>
      <c r="C10" s="26"/>
      <c r="D10" s="35" t="s">
        <v>10</v>
      </c>
      <c r="E10" s="31"/>
      <c r="F10" s="31"/>
      <c r="G10" s="35"/>
      <c r="H10" s="36"/>
      <c r="I10" s="31"/>
      <c r="J10" s="32"/>
      <c r="K10" s="32"/>
      <c r="L10" s="32"/>
      <c r="M10" s="32"/>
      <c r="N10" s="32"/>
      <c r="O10" s="32"/>
      <c r="P10" s="29"/>
      <c r="Q10" s="29"/>
      <c r="R10" s="30"/>
      <c r="S10" s="34"/>
      <c r="T10" s="34"/>
      <c r="U10" s="34"/>
      <c r="V10" s="34"/>
      <c r="W10" s="34"/>
      <c r="X10" s="34"/>
      <c r="Y10" s="34"/>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c r="DC10" s="9"/>
      <c r="DD10" s="9"/>
      <c r="DE10" s="9"/>
      <c r="DF10" s="9"/>
      <c r="DG10" s="9"/>
      <c r="DH10" s="9"/>
      <c r="DI10" s="9"/>
      <c r="DJ10" s="9"/>
      <c r="DK10" s="9"/>
      <c r="DL10" s="9"/>
      <c r="DM10" s="9"/>
      <c r="DN10" s="9"/>
      <c r="DO10" s="9"/>
      <c r="DP10" s="9"/>
      <c r="DQ10" s="9"/>
      <c r="DU10" s="11"/>
      <c r="DV10" s="11"/>
      <c r="DW10" s="11"/>
      <c r="DX10" s="11"/>
      <c r="DY10" s="11"/>
      <c r="DZ10" s="11"/>
      <c r="EA10" s="11"/>
      <c r="EB10" s="11"/>
      <c r="EC10" s="11"/>
      <c r="ED10" s="11"/>
      <c r="EE10" s="11"/>
      <c r="EF10" s="11"/>
      <c r="EG10" s="11"/>
      <c r="EH10" s="11"/>
      <c r="EI10" s="11"/>
      <c r="EJ10" s="11"/>
      <c r="EK10" s="11"/>
    </row>
    <row r="11" spans="1:141" s="10" customFormat="1" x14ac:dyDescent="0.25">
      <c r="A11" s="20"/>
      <c r="B11" s="20"/>
      <c r="C11" s="37"/>
      <c r="D11" s="38"/>
      <c r="E11" s="39"/>
      <c r="F11" s="39"/>
      <c r="G11" s="40"/>
      <c r="H11" s="40"/>
      <c r="I11" s="39"/>
      <c r="J11" s="39"/>
      <c r="K11" s="40"/>
      <c r="L11" s="40"/>
      <c r="M11" s="40"/>
      <c r="N11" s="39"/>
      <c r="O11" s="39"/>
      <c r="P11" s="40"/>
      <c r="Q11" s="40"/>
      <c r="R11" s="41"/>
      <c r="S11" s="42"/>
      <c r="T11" s="42"/>
      <c r="U11" s="42"/>
      <c r="V11" s="42"/>
      <c r="W11" s="42"/>
      <c r="X11" s="42"/>
      <c r="Y11" s="42"/>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c r="DC11" s="9"/>
      <c r="DD11" s="9"/>
      <c r="DE11" s="9"/>
      <c r="DF11" s="9"/>
      <c r="DG11" s="9"/>
      <c r="DH11" s="9"/>
      <c r="DI11" s="9"/>
      <c r="DJ11" s="9"/>
      <c r="DK11" s="9"/>
      <c r="DL11" s="9"/>
      <c r="DM11" s="9"/>
      <c r="DN11" s="9"/>
      <c r="DO11" s="9"/>
      <c r="DP11" s="9"/>
      <c r="DQ11" s="9"/>
      <c r="DU11" s="11"/>
      <c r="DV11" s="11"/>
      <c r="DW11" s="11"/>
      <c r="DX11" s="11"/>
      <c r="DY11" s="11"/>
      <c r="DZ11" s="11"/>
      <c r="EA11" s="11"/>
      <c r="EB11" s="11"/>
      <c r="EC11" s="11"/>
      <c r="ED11" s="11"/>
      <c r="EE11" s="11"/>
      <c r="EF11" s="11"/>
      <c r="EG11" s="11"/>
      <c r="EH11" s="11"/>
      <c r="EI11" s="11"/>
      <c r="EJ11" s="11"/>
      <c r="EK11" s="11"/>
    </row>
    <row r="12" spans="1:141" s="10" customFormat="1" x14ac:dyDescent="0.25">
      <c r="A12" s="43"/>
      <c r="B12" s="43"/>
      <c r="C12" s="44"/>
      <c r="D12" s="45"/>
      <c r="E12" s="46"/>
      <c r="F12" s="46"/>
      <c r="G12" s="45"/>
      <c r="H12" s="45"/>
      <c r="I12" s="45"/>
      <c r="J12" s="45"/>
      <c r="K12" s="45"/>
      <c r="L12" s="45"/>
      <c r="M12" s="45"/>
      <c r="N12" s="45"/>
      <c r="O12" s="45"/>
      <c r="P12" s="46"/>
      <c r="Q12" s="46"/>
      <c r="R12" s="46"/>
      <c r="S12" s="42"/>
      <c r="T12" s="9"/>
      <c r="U12" s="9"/>
      <c r="V12" s="9"/>
      <c r="W12" s="9"/>
      <c r="X12" s="9"/>
      <c r="Y12" s="42"/>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U12" s="11"/>
      <c r="DV12" s="11"/>
      <c r="DW12" s="11"/>
      <c r="DX12" s="11"/>
      <c r="DY12" s="11"/>
      <c r="DZ12" s="11"/>
      <c r="EA12" s="11"/>
      <c r="EB12" s="11"/>
      <c r="EC12" s="11"/>
      <c r="ED12" s="11"/>
      <c r="EE12" s="11"/>
      <c r="EF12" s="11"/>
      <c r="EG12" s="11"/>
      <c r="EH12" s="11"/>
      <c r="EI12" s="11"/>
      <c r="EJ12" s="11"/>
      <c r="EK12" s="11"/>
    </row>
    <row r="13" spans="1:141" s="10" customFormat="1" ht="18" x14ac:dyDescent="0.25">
      <c r="A13" s="20"/>
      <c r="B13" s="20"/>
      <c r="C13" s="21"/>
      <c r="D13" s="47" t="s">
        <v>130</v>
      </c>
      <c r="E13" s="48"/>
      <c r="F13" s="23"/>
      <c r="G13" s="25"/>
      <c r="H13" s="23"/>
      <c r="I13" s="23"/>
      <c r="J13" s="23"/>
      <c r="K13" s="23"/>
      <c r="L13" s="25"/>
      <c r="M13" s="23"/>
      <c r="N13" s="25" t="s">
        <v>11</v>
      </c>
      <c r="O13" s="25"/>
      <c r="P13" s="25"/>
      <c r="Q13" s="25"/>
      <c r="R13" s="49"/>
      <c r="S13" s="42"/>
      <c r="T13" s="9"/>
      <c r="U13" s="9"/>
      <c r="V13" s="9"/>
      <c r="W13" s="9"/>
      <c r="X13" s="9"/>
      <c r="Y13" s="42"/>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c r="CM13" s="9"/>
      <c r="CN13" s="9"/>
      <c r="CO13" s="9"/>
      <c r="CP13" s="9"/>
      <c r="CQ13" s="9"/>
      <c r="CR13" s="9"/>
      <c r="CS13" s="9"/>
      <c r="CT13" s="9"/>
      <c r="CU13" s="9"/>
      <c r="CV13" s="9"/>
      <c r="CW13" s="9"/>
      <c r="CX13" s="9"/>
      <c r="CY13" s="9"/>
      <c r="CZ13" s="9"/>
      <c r="DA13" s="9"/>
      <c r="DB13" s="9"/>
      <c r="DC13" s="9"/>
      <c r="DD13" s="9"/>
      <c r="DE13" s="9"/>
      <c r="DF13" s="9"/>
      <c r="DG13" s="9"/>
      <c r="DH13" s="9"/>
      <c r="DI13" s="9"/>
      <c r="DJ13" s="9"/>
      <c r="DK13" s="9"/>
      <c r="DL13" s="9"/>
      <c r="DM13" s="9"/>
      <c r="DN13" s="9"/>
      <c r="DO13" s="9"/>
      <c r="DP13" s="9"/>
      <c r="DQ13" s="9"/>
      <c r="DU13" s="11"/>
      <c r="DV13" s="11"/>
      <c r="DW13" s="11"/>
      <c r="DX13" s="11"/>
      <c r="DY13" s="11"/>
      <c r="DZ13" s="11"/>
      <c r="EA13" s="11"/>
      <c r="EB13" s="11"/>
      <c r="EC13" s="11"/>
      <c r="ED13" s="11"/>
      <c r="EE13" s="11"/>
      <c r="EF13" s="11"/>
      <c r="EG13" s="11"/>
      <c r="EH13" s="11"/>
      <c r="EI13" s="11"/>
      <c r="EJ13" s="11"/>
      <c r="EK13" s="11"/>
    </row>
    <row r="14" spans="1:141" s="10" customFormat="1" ht="17.45" customHeight="1" x14ac:dyDescent="0.25">
      <c r="A14" s="20"/>
      <c r="B14" s="20"/>
      <c r="C14" s="26"/>
      <c r="D14" s="28" t="s">
        <v>12</v>
      </c>
      <c r="E14" s="28"/>
      <c r="F14" s="28"/>
      <c r="G14" s="32"/>
      <c r="H14" s="28"/>
      <c r="I14" s="28"/>
      <c r="J14" s="28"/>
      <c r="K14" s="28"/>
      <c r="L14" s="32"/>
      <c r="M14" s="32" t="s">
        <v>51</v>
      </c>
      <c r="N14" s="50">
        <v>250</v>
      </c>
      <c r="O14" s="32"/>
      <c r="P14" s="32"/>
      <c r="Q14" s="32"/>
      <c r="R14" s="30"/>
      <c r="S14" s="51"/>
      <c r="T14" s="9"/>
      <c r="U14" s="9"/>
      <c r="V14" s="9"/>
      <c r="W14" s="9"/>
      <c r="X14" s="9"/>
      <c r="Y14" s="42"/>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c r="CB14" s="9"/>
      <c r="CC14" s="9"/>
      <c r="CD14" s="9"/>
      <c r="CE14" s="9"/>
      <c r="CF14" s="9"/>
      <c r="CG14" s="9"/>
      <c r="CH14" s="9"/>
      <c r="CI14" s="9"/>
      <c r="CJ14" s="9"/>
      <c r="CK14" s="9"/>
      <c r="CL14" s="9"/>
      <c r="CM14" s="9"/>
      <c r="CN14" s="9"/>
      <c r="CO14" s="9"/>
      <c r="CP14" s="9"/>
      <c r="CQ14" s="9"/>
      <c r="CR14" s="9"/>
      <c r="CS14" s="9"/>
      <c r="CT14" s="9"/>
      <c r="CU14" s="9"/>
      <c r="CV14" s="9"/>
      <c r="CW14" s="9"/>
      <c r="CX14" s="9"/>
      <c r="CY14" s="9"/>
      <c r="CZ14" s="9"/>
      <c r="DA14" s="9"/>
      <c r="DB14" s="9"/>
      <c r="DC14" s="9"/>
      <c r="DD14" s="9"/>
      <c r="DE14" s="9"/>
      <c r="DF14" s="9"/>
      <c r="DG14" s="9"/>
      <c r="DH14" s="9"/>
      <c r="DI14" s="9"/>
      <c r="DJ14" s="9"/>
      <c r="DK14" s="9"/>
      <c r="DL14" s="9"/>
      <c r="DM14" s="9"/>
      <c r="DN14" s="9"/>
      <c r="DO14" s="9"/>
      <c r="DP14" s="9"/>
      <c r="DQ14" s="9"/>
      <c r="DU14" s="11"/>
      <c r="DV14" s="11"/>
      <c r="DW14" s="11"/>
      <c r="DX14" s="11"/>
      <c r="DY14" s="11"/>
      <c r="DZ14" s="11"/>
      <c r="EA14" s="11"/>
      <c r="EB14" s="11"/>
      <c r="EC14" s="11"/>
      <c r="ED14" s="11"/>
      <c r="EE14" s="11"/>
      <c r="EF14" s="11"/>
      <c r="EG14" s="11"/>
      <c r="EH14" s="11"/>
      <c r="EI14" s="11"/>
      <c r="EJ14" s="11"/>
      <c r="EK14" s="11"/>
    </row>
    <row r="15" spans="1:141" s="10" customFormat="1" ht="21" customHeight="1" x14ac:dyDescent="0.25">
      <c r="A15" s="43"/>
      <c r="B15" s="43"/>
      <c r="C15" s="26"/>
      <c r="D15" s="52" t="s">
        <v>165</v>
      </c>
      <c r="E15" s="28"/>
      <c r="F15" s="28"/>
      <c r="G15" s="32"/>
      <c r="H15" s="29"/>
      <c r="I15" s="29"/>
      <c r="J15" s="29"/>
      <c r="K15" s="29"/>
      <c r="L15" s="32"/>
      <c r="M15" s="32"/>
      <c r="N15" s="32"/>
      <c r="O15" s="32"/>
      <c r="P15" s="53"/>
      <c r="Q15" s="53"/>
      <c r="R15" s="30"/>
      <c r="S15" s="54"/>
      <c r="T15" s="54"/>
      <c r="U15" s="42"/>
      <c r="V15" s="42"/>
      <c r="W15" s="42"/>
      <c r="X15" s="42"/>
      <c r="Y15" s="42"/>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c r="DC15" s="9"/>
      <c r="DD15" s="9"/>
      <c r="DE15" s="9"/>
      <c r="DF15" s="9"/>
      <c r="DG15" s="9"/>
      <c r="DH15" s="9"/>
      <c r="DI15" s="9"/>
      <c r="DJ15" s="9"/>
      <c r="DK15" s="9"/>
      <c r="DL15" s="9"/>
      <c r="DM15" s="9"/>
      <c r="DN15" s="9"/>
      <c r="DO15" s="9"/>
      <c r="DP15" s="9"/>
      <c r="DQ15" s="9"/>
      <c r="DU15" s="11"/>
      <c r="DV15" s="11"/>
      <c r="DW15" s="11"/>
      <c r="DX15" s="11"/>
      <c r="DY15" s="11"/>
      <c r="DZ15" s="11"/>
      <c r="EA15" s="11"/>
      <c r="EB15" s="11"/>
      <c r="EC15" s="11"/>
      <c r="ED15" s="11"/>
      <c r="EE15" s="11"/>
      <c r="EF15" s="11"/>
      <c r="EG15" s="11"/>
      <c r="EH15" s="11"/>
      <c r="EI15" s="11"/>
      <c r="EJ15" s="11"/>
      <c r="EK15" s="11"/>
    </row>
    <row r="16" spans="1:141" s="10" customFormat="1" ht="63.75" x14ac:dyDescent="0.25">
      <c r="A16" s="43"/>
      <c r="B16" s="43"/>
      <c r="C16" s="26"/>
      <c r="D16" s="259" t="s">
        <v>47</v>
      </c>
      <c r="E16" s="260" t="s">
        <v>6</v>
      </c>
      <c r="F16" s="260" t="s">
        <v>13</v>
      </c>
      <c r="G16" s="260" t="s">
        <v>2</v>
      </c>
      <c r="H16" s="260" t="s">
        <v>111</v>
      </c>
      <c r="I16" s="260" t="s">
        <v>107</v>
      </c>
      <c r="J16" s="260" t="s">
        <v>108</v>
      </c>
      <c r="K16" s="260" t="str">
        <f>"Lumen DC @ 
"&amp;$D$10&amp;" = "&amp;$I$8&amp;"°C"</f>
        <v>Lumen DC @ 
Case = 25°C</v>
      </c>
      <c r="L16" s="260" t="str">
        <f>"Efficacy DC @ 
"&amp;$D$10&amp;" = "&amp;$I$8&amp;"°C"</f>
        <v>Efficacy DC @ 
Case = 25°C</v>
      </c>
      <c r="M16" s="260" t="str">
        <f>"Min. Lumen DC @ 
"&amp;$D$10&amp;" = "&amp;$I$8&amp;"°C"</f>
        <v>Min. Lumen DC @ 
Case = 25°C</v>
      </c>
      <c r="N16" s="260" t="s">
        <v>153</v>
      </c>
      <c r="O16" s="260" t="s">
        <v>109</v>
      </c>
      <c r="P16" s="261" t="s">
        <v>14</v>
      </c>
      <c r="Q16" s="253"/>
      <c r="R16" s="30"/>
      <c r="S16" s="55"/>
      <c r="T16" s="4"/>
      <c r="U16" s="4"/>
      <c r="V16" s="4"/>
      <c r="W16" s="4"/>
      <c r="X16" s="4"/>
      <c r="Y16" s="274"/>
      <c r="Z16" s="57"/>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c r="DC16" s="9"/>
      <c r="DD16" s="9"/>
      <c r="DE16" s="9"/>
      <c r="DF16" s="9"/>
      <c r="DG16" s="9"/>
      <c r="DH16" s="9"/>
      <c r="DI16" s="9"/>
      <c r="DJ16" s="9"/>
      <c r="DK16" s="9"/>
      <c r="DL16" s="9"/>
      <c r="DM16" s="9"/>
      <c r="DN16" s="9"/>
      <c r="DO16" s="9"/>
      <c r="DP16" s="9"/>
      <c r="DQ16" s="9"/>
      <c r="DU16" s="11"/>
      <c r="DV16" s="11"/>
      <c r="DW16" s="11"/>
      <c r="DX16" s="11"/>
      <c r="DY16" s="11"/>
      <c r="DZ16" s="11"/>
      <c r="EA16" s="11"/>
      <c r="EB16" s="11"/>
      <c r="EC16" s="11"/>
      <c r="ED16" s="11"/>
      <c r="EE16" s="11"/>
      <c r="EF16" s="11"/>
      <c r="EG16" s="11"/>
      <c r="EH16" s="11"/>
      <c r="EI16" s="11"/>
      <c r="EJ16" s="11"/>
      <c r="EK16" s="11"/>
    </row>
    <row r="17" spans="1:141" s="63" customFormat="1" ht="15" x14ac:dyDescent="0.2">
      <c r="A17" s="43" t="str">
        <f t="shared" ref="A17:A24" si="0">D17&amp;C17&amp;"-"&amp;L$6&amp;F17</f>
        <v>6mm-1827GA</v>
      </c>
      <c r="B17" s="43"/>
      <c r="C17" s="59"/>
      <c r="D17" s="158" t="s">
        <v>46</v>
      </c>
      <c r="E17" s="153" t="str">
        <f>IFERROR(INDEX(Master_Table[],MATCH(A17,Master_Table[PF+CCT+Tech],0),9),"-")</f>
        <v>BXRV-DR-1827G-0600-A-13</v>
      </c>
      <c r="F17" s="153" t="s">
        <v>15</v>
      </c>
      <c r="G17" s="153">
        <f>IFERROR(IF(AND(((Simulator!N$14)&lt;=P17),(N$14&gt;=N17)),MROUND(Calculations!AN5,50),"-"),"-")</f>
        <v>2600</v>
      </c>
      <c r="H17" s="153">
        <f>IF(AND(((Simulator!N$14)&lt;=P17),(N$14&gt;=0),(P17&lt;9E+307)),N$14,"-")</f>
        <v>250</v>
      </c>
      <c r="I17" s="154">
        <f>IF(AND(((Simulator!N$14)&lt;=P17),(N$14&gt;=0),(P17&lt;9E+307)),Calculations!Y5,"-")</f>
        <v>16.125974405777789</v>
      </c>
      <c r="J17" s="154">
        <f>IF(AND(((Simulator!N$14)&lt;=P17),(N$14&gt;=0),(P17&lt;9E+307)),(Simulator!H17*Simulator!I17/1000),"-")</f>
        <v>4.0314936014444473</v>
      </c>
      <c r="K17" s="153">
        <f>IF(AND(((Simulator!N$14)&lt;=P17),(N$14&gt;=0),(P17&lt;9E+307)),(Calculations!O5),"-")</f>
        <v>421.5850240560099</v>
      </c>
      <c r="L17" s="153">
        <f>IF(AND(((Simulator!N$14)&lt;=P17),(N$14&gt;=0),(P17&lt;9E+307)),(K17/J17),"-")</f>
        <v>104.57291161393877</v>
      </c>
      <c r="M17" s="153">
        <f>IF(AND(((Simulator!N$14)&lt;=P17),(N$14&gt;=0),(P17&lt;9E+307)),(0.9*K17),"-")</f>
        <v>379.42652165040892</v>
      </c>
      <c r="N17" s="153">
        <f>IFERROR(INDEX(Master_Table[],MATCH($A17,Master_Table[PF+CCT+Tech],0),COLUMN(Master_Table[MinCurrent])),"-")</f>
        <v>14</v>
      </c>
      <c r="O17" s="153">
        <f>IFERROR(INDEX(Master_Table[],MATCH($A17,Master_Table[PF+CCT+Tech],0),COLUMN(Master_Table[Typical Current])),"-")</f>
        <v>350</v>
      </c>
      <c r="P17" s="159">
        <f>IFERROR(INDEX(Master_Table[],MATCH($A17,Master_Table[PF+CCT+Tech],0),COLUMN(Master_Table[Max Current])),"-")</f>
        <v>420</v>
      </c>
      <c r="Q17" s="159"/>
      <c r="R17" s="60"/>
      <c r="S17" s="61"/>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2"/>
      <c r="AY17" s="62"/>
      <c r="AZ17" s="62"/>
      <c r="BA17" s="62"/>
      <c r="BB17" s="62"/>
      <c r="BC17" s="62"/>
      <c r="BD17" s="62"/>
      <c r="BE17" s="62"/>
      <c r="BF17" s="62"/>
      <c r="BG17" s="62"/>
      <c r="BH17" s="62"/>
      <c r="BI17" s="62"/>
      <c r="BJ17" s="62"/>
      <c r="BK17" s="62"/>
      <c r="BL17" s="62"/>
      <c r="BM17" s="62"/>
      <c r="BN17" s="62"/>
      <c r="BO17" s="62"/>
      <c r="BP17" s="62"/>
      <c r="BQ17" s="62"/>
      <c r="BR17" s="62"/>
      <c r="BS17" s="62"/>
      <c r="BT17" s="62"/>
      <c r="BU17" s="62"/>
      <c r="BV17" s="62"/>
      <c r="BW17" s="62"/>
      <c r="BX17" s="62"/>
      <c r="BY17" s="62"/>
      <c r="BZ17" s="62"/>
      <c r="CA17" s="62"/>
      <c r="CB17" s="62"/>
      <c r="CC17" s="62"/>
      <c r="CD17" s="62"/>
      <c r="CE17" s="62"/>
      <c r="CF17" s="62"/>
      <c r="CG17" s="62"/>
      <c r="CH17" s="62"/>
      <c r="CI17" s="62"/>
      <c r="CJ17" s="62"/>
      <c r="CK17" s="62"/>
      <c r="CL17" s="62"/>
      <c r="CM17" s="62"/>
      <c r="CN17" s="62"/>
      <c r="CO17" s="62"/>
      <c r="CP17" s="62"/>
      <c r="CQ17" s="62"/>
      <c r="CR17" s="62"/>
      <c r="CS17" s="62"/>
      <c r="CT17" s="62"/>
      <c r="CU17" s="62"/>
      <c r="CV17" s="62"/>
      <c r="CW17" s="62"/>
      <c r="CX17" s="62"/>
      <c r="CY17" s="62"/>
      <c r="CZ17" s="62"/>
      <c r="DA17" s="62"/>
      <c r="DB17" s="62"/>
      <c r="DC17" s="62"/>
      <c r="DD17" s="62"/>
      <c r="DE17" s="62"/>
      <c r="DF17" s="62"/>
      <c r="DG17" s="62"/>
      <c r="DH17" s="62"/>
      <c r="DI17" s="62"/>
      <c r="DJ17" s="62"/>
      <c r="DK17" s="62"/>
      <c r="DL17" s="62"/>
      <c r="DM17" s="62"/>
      <c r="DN17" s="62"/>
      <c r="DO17" s="62"/>
      <c r="DP17" s="62"/>
      <c r="DQ17" s="62"/>
    </row>
    <row r="18" spans="1:141" s="63" customFormat="1" ht="15" x14ac:dyDescent="0.2">
      <c r="A18" s="43" t="str">
        <f t="shared" si="0"/>
        <v>9mm-1827GG</v>
      </c>
      <c r="B18" s="43"/>
      <c r="C18" s="59"/>
      <c r="D18" s="160" t="s">
        <v>48</v>
      </c>
      <c r="E18" s="155" t="str">
        <f>IFERROR(INDEX(Master_Table[],MATCH(A18,Master_Table[PF+CCT+Tech],0),9),"-")</f>
        <v>BXRV-DR-1827G-1000-G-13</v>
      </c>
      <c r="F18" s="155" t="s">
        <v>97</v>
      </c>
      <c r="G18" s="155">
        <f>IFERROR(IF(AND(((Simulator!N$14)&lt;=P18),(N$14&gt;=N18)),MROUND(Calculations!AN6,50),"-"),"-")</f>
        <v>2700</v>
      </c>
      <c r="H18" s="155">
        <f>IF(AND(((Simulator!N$14)&lt;=P18),(N$14&gt;=0),(P18&lt;9E+307)),N$14,"-")</f>
        <v>250</v>
      </c>
      <c r="I18" s="156">
        <f>IF(AND(((Simulator!N$14)&lt;=P18),(N$14&gt;=0),(P18&lt;9E+307)),Calculations!Y6,"-")</f>
        <v>17.000000000000014</v>
      </c>
      <c r="J18" s="156">
        <f>IF(AND(((Simulator!N$14)&lt;=P18),(N$14&gt;=0),(P18&lt;9E+307)),(Simulator!H18*Simulator!I18/1000),"-")</f>
        <v>4.2500000000000036</v>
      </c>
      <c r="K18" s="155">
        <f>IF(AND(((Simulator!N$14)&lt;=P18),(N$14&gt;=0),(P18&lt;9E+307)),(Calculations!O6),"-")</f>
        <v>438.01073716857144</v>
      </c>
      <c r="L18" s="155">
        <f>IF(AND(((Simulator!N$14)&lt;=P18),(N$14&gt;=0),(P18&lt;9E+307)),(K18/J18),"-")</f>
        <v>103.06134992201672</v>
      </c>
      <c r="M18" s="155">
        <f>IF(AND(((Simulator!N$14)&lt;=P18),(N$14&gt;=0),(P18&lt;9E+307)),(0.9*K18),"-")</f>
        <v>394.20966345171428</v>
      </c>
      <c r="N18" s="155">
        <f>IFERROR(INDEX(Master_Table[],MATCH($A18,Master_Table[PF+CCT+Tech],0),COLUMN(Master_Table[MinCurrent])),"-")</f>
        <v>14</v>
      </c>
      <c r="O18" s="155">
        <f>IFERROR(INDEX(Master_Table[],MATCH(A18,Master_Table[PF+CCT+Tech],0),COLUMN(Master_Table[Typical Current])),"-")</f>
        <v>250</v>
      </c>
      <c r="P18" s="161">
        <f>IFERROR(INDEX(Master_Table[],MATCH($A18,Master_Table[PF+CCT+Tech],0),COLUMN(Master_Table[Max Current])),"-")</f>
        <v>300</v>
      </c>
      <c r="Q18" s="161"/>
      <c r="R18" s="60"/>
      <c r="S18" s="61"/>
      <c r="T18" s="279"/>
      <c r="U18" s="279"/>
      <c r="V18" s="279"/>
      <c r="W18" s="279"/>
      <c r="X18" s="279"/>
      <c r="Y18" s="62"/>
      <c r="Z18" s="62"/>
      <c r="AA18" s="62"/>
      <c r="AB18" s="62"/>
      <c r="AC18" s="62"/>
      <c r="AD18" s="62"/>
      <c r="AE18" s="62"/>
      <c r="AF18" s="62"/>
      <c r="AG18" s="62"/>
      <c r="AH18" s="62"/>
      <c r="AI18" s="62"/>
      <c r="AJ18" s="62"/>
      <c r="AK18" s="62"/>
      <c r="AL18" s="62"/>
      <c r="AM18" s="62"/>
      <c r="AN18" s="62"/>
      <c r="AO18" s="62"/>
      <c r="AP18" s="62"/>
      <c r="AQ18" s="62"/>
      <c r="AR18" s="62"/>
      <c r="AS18" s="62"/>
      <c r="AT18" s="62"/>
      <c r="AU18" s="62"/>
      <c r="AV18" s="62"/>
      <c r="AW18" s="62"/>
      <c r="AX18" s="62"/>
      <c r="AY18" s="62"/>
      <c r="AZ18" s="62"/>
      <c r="BA18" s="62"/>
      <c r="BB18" s="62"/>
      <c r="BC18" s="62"/>
      <c r="BD18" s="62"/>
      <c r="BE18" s="62"/>
      <c r="BF18" s="62"/>
      <c r="BG18" s="62"/>
      <c r="BH18" s="62"/>
      <c r="BI18" s="62"/>
      <c r="BJ18" s="62"/>
      <c r="BK18" s="62"/>
      <c r="BL18" s="62"/>
      <c r="BM18" s="62"/>
      <c r="BN18" s="62"/>
      <c r="BO18" s="62"/>
      <c r="BP18" s="62"/>
      <c r="BQ18" s="62"/>
      <c r="BR18" s="62"/>
      <c r="BS18" s="62"/>
      <c r="BT18" s="62"/>
      <c r="BU18" s="62"/>
      <c r="BV18" s="62"/>
      <c r="BW18" s="62"/>
      <c r="BX18" s="62"/>
      <c r="BY18" s="62"/>
      <c r="BZ18" s="62"/>
      <c r="CA18" s="62"/>
      <c r="CB18" s="62"/>
      <c r="CC18" s="62"/>
      <c r="CD18" s="62"/>
      <c r="CE18" s="62"/>
      <c r="CF18" s="62"/>
      <c r="CG18" s="62"/>
      <c r="CH18" s="62"/>
      <c r="CI18" s="62"/>
      <c r="CJ18" s="62"/>
      <c r="CK18" s="62"/>
      <c r="CL18" s="62"/>
      <c r="CM18" s="62"/>
      <c r="CN18" s="62"/>
      <c r="CO18" s="62"/>
      <c r="CP18" s="62"/>
      <c r="CQ18" s="62"/>
      <c r="CR18" s="62"/>
      <c r="CS18" s="62"/>
      <c r="CT18" s="62"/>
      <c r="CU18" s="62"/>
      <c r="CV18" s="62"/>
      <c r="CW18" s="62"/>
      <c r="CX18" s="62"/>
      <c r="CY18" s="62"/>
      <c r="CZ18" s="62"/>
      <c r="DA18" s="62"/>
      <c r="DB18" s="62"/>
      <c r="DC18" s="62"/>
      <c r="DD18" s="62"/>
      <c r="DE18" s="62"/>
      <c r="DF18" s="62"/>
      <c r="DG18" s="62"/>
      <c r="DH18" s="62"/>
      <c r="DI18" s="62"/>
      <c r="DJ18" s="62"/>
      <c r="DK18" s="62"/>
      <c r="DL18" s="62"/>
      <c r="DM18" s="62"/>
      <c r="DN18" s="62"/>
      <c r="DO18" s="62"/>
      <c r="DP18" s="62"/>
      <c r="DQ18" s="62"/>
    </row>
    <row r="19" spans="1:141" s="63" customFormat="1" ht="15" x14ac:dyDescent="0.2">
      <c r="A19" s="43" t="str">
        <f t="shared" si="0"/>
        <v>9mm-1827GA</v>
      </c>
      <c r="B19" s="43"/>
      <c r="C19" s="59"/>
      <c r="D19" s="158" t="s">
        <v>48</v>
      </c>
      <c r="E19" s="153" t="str">
        <f>IFERROR(INDEX(Master_Table[],MATCH(A19,Master_Table[PF+CCT+Tech],0),9),"-")</f>
        <v>BXRV-DR-1827G-1000-A-13</v>
      </c>
      <c r="F19" s="153" t="s">
        <v>15</v>
      </c>
      <c r="G19" s="153">
        <f>IFERROR(IF(AND(((Simulator!N$14)&lt;=P19),(N$14&gt;=N19)),MROUND(Calculations!AN7,50),"-"),"-")</f>
        <v>2600</v>
      </c>
      <c r="H19" s="153">
        <f>IF(AND(((Simulator!N$14)&lt;=P19),(N$14&gt;=0),(P19&lt;9E+307)),N$14,"-")</f>
        <v>250</v>
      </c>
      <c r="I19" s="154">
        <f>IF(AND(((Simulator!N$14)&lt;=P19),(N$14&gt;=0),(P19&lt;9E+307)),Calculations!Y7,"-")</f>
        <v>16.125974405777789</v>
      </c>
      <c r="J19" s="154">
        <f>IF(AND(((Simulator!N$14)&lt;=P19),(N$14&gt;=0),(P19&lt;9E+307)),(Simulator!H19*Simulator!I19/1000),"-")</f>
        <v>4.0314936014444473</v>
      </c>
      <c r="K19" s="153">
        <f>IF(AND(((Simulator!N$14)&lt;=P19),(N$14&gt;=0),(P19&lt;9E+307)),(Calculations!O7),"-")</f>
        <v>411.53173777089768</v>
      </c>
      <c r="L19" s="153">
        <f>IF(AND(((Simulator!N$14)&lt;=P19),(N$14&gt;=0),(P19&lt;9E+307)),(K19/J19),"-")</f>
        <v>102.07922384484242</v>
      </c>
      <c r="M19" s="153">
        <f>IF(AND(((Simulator!N$14)&lt;=P19),(N$14&gt;=0),(P19&lt;9E+307)),(0.9*K19),"-")</f>
        <v>370.37856399380792</v>
      </c>
      <c r="N19" s="153">
        <f>IFERROR(INDEX(Master_Table[],MATCH($A19,Master_Table[PF+CCT+Tech],0),COLUMN(Master_Table[MinCurrent])),"-")</f>
        <v>14</v>
      </c>
      <c r="O19" s="153">
        <f>IFERROR(INDEX(Master_Table[],MATCH(A19,Master_Table[PF+CCT+Tech],0),COLUMN(Master_Table[Typical Current])),"-")</f>
        <v>350</v>
      </c>
      <c r="P19" s="159">
        <f>IFERROR(INDEX(Master_Table[],MATCH($A19,Master_Table[PF+CCT+Tech],0),COLUMN(Master_Table[Max Current])),"-")</f>
        <v>420</v>
      </c>
      <c r="Q19" s="159"/>
      <c r="R19" s="60"/>
      <c r="S19" s="61"/>
      <c r="T19" s="62"/>
      <c r="U19" s="62"/>
      <c r="V19" s="62"/>
      <c r="W19" s="62"/>
      <c r="X19" s="62"/>
      <c r="Y19" s="62"/>
      <c r="Z19" s="62"/>
      <c r="AA19" s="62"/>
      <c r="AB19" s="62"/>
      <c r="AC19" s="62"/>
      <c r="AD19" s="62"/>
      <c r="AE19" s="62"/>
      <c r="AF19" s="62"/>
      <c r="AG19" s="62"/>
      <c r="AH19" s="62"/>
      <c r="AI19" s="62"/>
      <c r="AJ19" s="62"/>
      <c r="AK19" s="62"/>
      <c r="AL19" s="62"/>
      <c r="AM19" s="62"/>
      <c r="AN19" s="62"/>
      <c r="AO19" s="62"/>
      <c r="AP19" s="62"/>
      <c r="AQ19" s="62"/>
      <c r="AR19" s="62"/>
      <c r="AS19" s="62"/>
      <c r="AT19" s="62"/>
      <c r="AU19" s="62"/>
      <c r="AV19" s="62"/>
      <c r="AW19" s="62"/>
      <c r="AX19" s="62"/>
      <c r="AY19" s="62"/>
      <c r="AZ19" s="62"/>
      <c r="BA19" s="62"/>
      <c r="BB19" s="62"/>
      <c r="BC19" s="62"/>
      <c r="BD19" s="62"/>
      <c r="BE19" s="62"/>
      <c r="BF19" s="62"/>
      <c r="BG19" s="62"/>
      <c r="BH19" s="62"/>
      <c r="BI19" s="62"/>
      <c r="BJ19" s="62"/>
      <c r="BK19" s="62"/>
      <c r="BL19" s="62"/>
      <c r="BM19" s="62"/>
      <c r="BN19" s="62"/>
      <c r="BO19" s="62"/>
      <c r="BP19" s="62"/>
      <c r="BQ19" s="62"/>
      <c r="BR19" s="62"/>
      <c r="BS19" s="62"/>
      <c r="BT19" s="62"/>
      <c r="BU19" s="62"/>
      <c r="BV19" s="62"/>
      <c r="BW19" s="62"/>
      <c r="BX19" s="62"/>
      <c r="BY19" s="62"/>
      <c r="BZ19" s="62"/>
      <c r="CA19" s="62"/>
      <c r="CB19" s="62"/>
      <c r="CC19" s="62"/>
      <c r="CD19" s="62"/>
      <c r="CE19" s="62"/>
      <c r="CF19" s="62"/>
      <c r="CG19" s="62"/>
      <c r="CH19" s="62"/>
      <c r="CI19" s="62"/>
      <c r="CJ19" s="62"/>
      <c r="CK19" s="62"/>
      <c r="CL19" s="62"/>
      <c r="CM19" s="62"/>
      <c r="CN19" s="62"/>
      <c r="CO19" s="62"/>
      <c r="CP19" s="62"/>
      <c r="CQ19" s="62"/>
      <c r="CR19" s="62"/>
      <c r="CS19" s="62"/>
      <c r="CT19" s="62"/>
      <c r="CU19" s="62"/>
      <c r="CV19" s="62"/>
      <c r="CW19" s="62"/>
      <c r="CX19" s="62"/>
      <c r="CY19" s="62"/>
      <c r="CZ19" s="62"/>
      <c r="DA19" s="62"/>
      <c r="DB19" s="62"/>
      <c r="DC19" s="62"/>
      <c r="DD19" s="62"/>
      <c r="DE19" s="62"/>
      <c r="DF19" s="62"/>
      <c r="DG19" s="62"/>
      <c r="DH19" s="62"/>
      <c r="DI19" s="62"/>
      <c r="DJ19" s="62"/>
      <c r="DK19" s="62"/>
      <c r="DL19" s="62"/>
      <c r="DM19" s="62"/>
      <c r="DN19" s="62"/>
      <c r="DO19" s="62"/>
      <c r="DP19" s="62"/>
      <c r="DQ19" s="62"/>
    </row>
    <row r="20" spans="1:141" s="10" customFormat="1" x14ac:dyDescent="0.25">
      <c r="A20" s="43" t="str">
        <f t="shared" si="0"/>
        <v>9mm-1827GB</v>
      </c>
      <c r="B20" s="43"/>
      <c r="C20" s="26"/>
      <c r="D20" s="160" t="s">
        <v>48</v>
      </c>
      <c r="E20" s="155" t="str">
        <f>IFERROR(INDEX(Master_Table[],MATCH(A20,Master_Table[PF+CCT+Tech],0),9),"-")</f>
        <v>BXRV-DR-1827G-1000-B-13</v>
      </c>
      <c r="F20" s="155" t="s">
        <v>63</v>
      </c>
      <c r="G20" s="155">
        <f>IFERROR(IF(AND(((Simulator!N$14)&lt;=P20),(N$14&gt;=N20)),MROUND(Calculations!AN8,50),"-"),"-")</f>
        <v>2600</v>
      </c>
      <c r="H20" s="155">
        <f>IF(AND(((Simulator!N$14)&lt;=P20),(N$14&gt;=0),(P20&lt;9E+307)),N$14,"-")</f>
        <v>250</v>
      </c>
      <c r="I20" s="156">
        <f>IF(AND(((Simulator!N$14)&lt;=P20),(N$14&gt;=0),(P20&lt;9E+307)),Calculations!Y8,"-")</f>
        <v>32.804597391012635</v>
      </c>
      <c r="J20" s="156">
        <f>IF(AND(((Simulator!N$14)&lt;=P20),(N$14&gt;=0),(P20&lt;9E+307)),(Simulator!H20*Simulator!I20/1000),"-")</f>
        <v>8.2011493477531587</v>
      </c>
      <c r="K20" s="155">
        <f>IF(AND(((Simulator!N$14)&lt;=P20),(N$14&gt;=0),(P20&lt;9E+307)),(Calculations!O8),"-")</f>
        <v>835.32590306230406</v>
      </c>
      <c r="L20" s="155">
        <f>IF(AND(((Simulator!N$14)&lt;=P20),(N$14&gt;=0),(P20&lt;9E+307)),(K20/J20),"-")</f>
        <v>101.85473616465178</v>
      </c>
      <c r="M20" s="155">
        <f>IF(AND(((Simulator!N$14)&lt;=P20),(N$14&gt;=0),(P20&lt;9E+307)),(0.9*K20),"-")</f>
        <v>751.79331275607365</v>
      </c>
      <c r="N20" s="155">
        <f>IFERROR(INDEX(Master_Table[],MATCH($A20,Master_Table[PF+CCT+Tech],0),COLUMN(Master_Table[MinCurrent])),"-")</f>
        <v>14</v>
      </c>
      <c r="O20" s="155">
        <f>IFERROR(INDEX(Master_Table[],MATCH(A20,Master_Table[PF+CCT+Tech],0),COLUMN(Master_Table[Typical Current])),"-")</f>
        <v>350</v>
      </c>
      <c r="P20" s="161">
        <f>IFERROR(INDEX(Master_Table[],MATCH($A20,Master_Table[PF+CCT+Tech],0),COLUMN(Master_Table[Max Current])),"-")</f>
        <v>420</v>
      </c>
      <c r="Q20" s="161"/>
      <c r="R20" s="56"/>
      <c r="S20" s="57"/>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c r="DC20" s="9"/>
      <c r="DD20" s="9"/>
      <c r="DE20" s="9"/>
      <c r="DF20" s="9"/>
      <c r="DG20" s="9"/>
      <c r="DH20" s="9"/>
      <c r="DI20" s="9"/>
      <c r="DJ20" s="9"/>
      <c r="DK20" s="9"/>
      <c r="DL20" s="9"/>
      <c r="DM20" s="9"/>
      <c r="DN20" s="9"/>
      <c r="DO20" s="9"/>
      <c r="DP20" s="9"/>
      <c r="DQ20" s="9"/>
      <c r="DU20" s="11"/>
      <c r="DV20" s="11"/>
      <c r="DW20" s="11"/>
      <c r="DX20" s="11"/>
      <c r="DY20" s="11"/>
      <c r="DZ20" s="11"/>
      <c r="EA20" s="11"/>
      <c r="EB20" s="11"/>
      <c r="EC20" s="11"/>
      <c r="ED20" s="11"/>
      <c r="EE20" s="11"/>
      <c r="EF20" s="11"/>
      <c r="EG20" s="11"/>
      <c r="EH20" s="11"/>
      <c r="EI20" s="11"/>
      <c r="EJ20" s="11"/>
      <c r="EK20" s="11"/>
    </row>
    <row r="21" spans="1:141" s="10" customFormat="1" x14ac:dyDescent="0.25">
      <c r="A21" s="43" t="str">
        <f t="shared" si="0"/>
        <v>13mm-1827GA</v>
      </c>
      <c r="B21" s="43"/>
      <c r="C21" s="26"/>
      <c r="D21" s="158" t="s">
        <v>49</v>
      </c>
      <c r="E21" s="153" t="str">
        <f>IFERROR(INDEX(Master_Table[],MATCH(A21,Master_Table[PF+CCT+Tech],0),9),"-")</f>
        <v>BXRV-DR-1827G-2000-A-13</v>
      </c>
      <c r="F21" s="153" t="s">
        <v>15</v>
      </c>
      <c r="G21" s="153">
        <f>IFERROR(IF(AND(((Simulator!N$14)&lt;=P21),(N$14&gt;=N21)),MROUND(Calculations!AN9,50),"-"),"-")</f>
        <v>2450</v>
      </c>
      <c r="H21" s="153">
        <f>IF(AND(((Simulator!N$14)&lt;=P21),(N$14&gt;=0),(P21&lt;9E+307)),N$14,"-")</f>
        <v>250</v>
      </c>
      <c r="I21" s="154">
        <f>IF(AND(((Simulator!N$14)&lt;=P21),(N$14&gt;=0),(P21&lt;9E+307)),Calculations!Y9,"-")</f>
        <v>31.639700980301722</v>
      </c>
      <c r="J21" s="154">
        <f>IF(AND(((Simulator!N$14)&lt;=P21),(N$14&gt;=0),(P21&lt;9E+307)),(Simulator!H21*Simulator!I21/1000),"-")</f>
        <v>7.9099252450754305</v>
      </c>
      <c r="K21" s="153">
        <f>IF(AND(((Simulator!N$14)&lt;=P21),(N$14&gt;=0),(P21&lt;9E+307)),(Calculations!O9),"-")</f>
        <v>789.67538861273908</v>
      </c>
      <c r="L21" s="153">
        <f>IF(AND(((Simulator!N$14)&lt;=P21),(N$14&gt;=0),(P21&lt;9E+307)),(K21/J21),"-")</f>
        <v>99.833483142508328</v>
      </c>
      <c r="M21" s="153">
        <f>IF(AND(((Simulator!N$14)&lt;=P21),(N$14&gt;=0),(P21&lt;9E+307)),(0.9*K21),"-")</f>
        <v>710.70784975146523</v>
      </c>
      <c r="N21" s="153">
        <f>IFERROR(INDEX(Master_Table[],MATCH($A21,Master_Table[PF+CCT+Tech],0),COLUMN(Master_Table[MinCurrent])),"-")</f>
        <v>20</v>
      </c>
      <c r="O21" s="153">
        <f>IFERROR(INDEX(Master_Table[],MATCH(A21,Master_Table[PF+CCT+Tech],0),COLUMN(Master_Table[Typical Current])),"-")</f>
        <v>600</v>
      </c>
      <c r="P21" s="159">
        <f>IFERROR(INDEX(Master_Table[],MATCH($A21,Master_Table[PF+CCT+Tech],0),COLUMN(Master_Table[Max Current])),"-")</f>
        <v>720</v>
      </c>
      <c r="Q21" s="159"/>
      <c r="R21" s="56"/>
      <c r="S21" s="57"/>
      <c r="T21" s="9"/>
      <c r="U21" s="9"/>
      <c r="V21" s="9"/>
      <c r="W21" s="9"/>
      <c r="X21" s="273"/>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c r="DC21" s="9"/>
      <c r="DD21" s="9"/>
      <c r="DE21" s="9"/>
      <c r="DF21" s="9"/>
      <c r="DG21" s="9"/>
      <c r="DH21" s="9"/>
      <c r="DI21" s="9"/>
      <c r="DJ21" s="9"/>
      <c r="DK21" s="9"/>
      <c r="DL21" s="9"/>
      <c r="DM21" s="9"/>
      <c r="DN21" s="9"/>
      <c r="DO21" s="9"/>
      <c r="DP21" s="9"/>
      <c r="DQ21" s="9"/>
      <c r="DU21" s="11"/>
      <c r="DV21" s="11"/>
      <c r="DW21" s="11"/>
      <c r="DX21" s="11"/>
      <c r="DY21" s="11"/>
      <c r="DZ21" s="11"/>
      <c r="EA21" s="11"/>
      <c r="EB21" s="11"/>
      <c r="EC21" s="11"/>
      <c r="ED21" s="11"/>
      <c r="EE21" s="11"/>
      <c r="EF21" s="11"/>
      <c r="EG21" s="11"/>
      <c r="EH21" s="11"/>
      <c r="EI21" s="11"/>
      <c r="EJ21" s="11"/>
      <c r="EK21" s="11"/>
    </row>
    <row r="22" spans="1:141" s="68" customFormat="1" ht="15" x14ac:dyDescent="0.2">
      <c r="A22" s="43" t="str">
        <f t="shared" si="0"/>
        <v>15mm-1827GA</v>
      </c>
      <c r="B22" s="43"/>
      <c r="C22" s="64"/>
      <c r="D22" s="160" t="s">
        <v>50</v>
      </c>
      <c r="E22" s="155" t="str">
        <f>IFERROR(INDEX(Master_Table[],MATCH(A22,Master_Table[PF+CCT+Tech],0),9),"-")</f>
        <v>BXRV-DR-1827G-3000-A-13</v>
      </c>
      <c r="F22" s="155" t="s">
        <v>15</v>
      </c>
      <c r="G22" s="155">
        <f>IFERROR(IF(AND(((Simulator!N$14)&lt;=P22),(N$14&gt;=N22)),MROUND(Calculations!AN10,50),"-"),"-")</f>
        <v>2150</v>
      </c>
      <c r="H22" s="155">
        <f>IF(AND(((Simulator!N$14)&lt;=P22),(N$14&gt;=0),(P22&lt;9E+307)),N$14,"-")</f>
        <v>250</v>
      </c>
      <c r="I22" s="156">
        <f>IF(AND(((Simulator!N$14)&lt;=P22),(N$14&gt;=0),(P22&lt;9E+307)),Calculations!Y10,"-")</f>
        <v>31.276215437338202</v>
      </c>
      <c r="J22" s="156">
        <f>IF(AND(((Simulator!N$14)&lt;=P22),(N$14&gt;=0),(P22&lt;9E+307)),(Simulator!H22*Simulator!I22/1000),"-")</f>
        <v>7.8190538593345504</v>
      </c>
      <c r="K22" s="155">
        <f>IF(AND(((Simulator!N$14)&lt;=P22),(N$14&gt;=0),(P22&lt;9E+307)),(Calculations!O10),"-")</f>
        <v>741.30162692207841</v>
      </c>
      <c r="L22" s="155">
        <f>IF(AND(((Simulator!N$14)&lt;=P22),(N$14&gt;=0),(P22&lt;9E+307)),(K22/J22),"-")</f>
        <v>94.807075160007628</v>
      </c>
      <c r="M22" s="155">
        <f>IF(AND(((Simulator!N$14)&lt;=P22),(N$14&gt;=0),(P22&lt;9E+307)),(0.9*K22),"-")</f>
        <v>667.17146422987059</v>
      </c>
      <c r="N22" s="155">
        <f>IFERROR(INDEX(Master_Table[],MATCH($A22,Master_Table[PF+CCT+Tech],0),COLUMN(Master_Table[MinCurrent])),"-")</f>
        <v>20</v>
      </c>
      <c r="O22" s="155">
        <f>IFERROR(INDEX(Master_Table[],MATCH(A22,Master_Table[PF+CCT+Tech],0),COLUMN(Master_Table[Typical Current])),"-")</f>
        <v>950</v>
      </c>
      <c r="P22" s="161">
        <f>IFERROR(INDEX(Master_Table[],MATCH($A22,Master_Table[PF+CCT+Tech],0),COLUMN(Master_Table[Max Current])),"-")</f>
        <v>1050</v>
      </c>
      <c r="Q22" s="165"/>
      <c r="R22" s="65"/>
      <c r="S22" s="66"/>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c r="AT22" s="67"/>
      <c r="AU22" s="67"/>
      <c r="AV22" s="67"/>
      <c r="AW22" s="67"/>
      <c r="AX22" s="67"/>
      <c r="AY22" s="67"/>
      <c r="AZ22" s="67"/>
      <c r="BA22" s="67"/>
      <c r="BB22" s="67"/>
      <c r="BC22" s="67"/>
      <c r="BD22" s="67"/>
      <c r="BE22" s="67"/>
      <c r="BF22" s="67"/>
      <c r="BG22" s="67"/>
      <c r="BH22" s="67"/>
      <c r="BI22" s="67"/>
      <c r="BJ22" s="67"/>
      <c r="BK22" s="67"/>
      <c r="BL22" s="67"/>
      <c r="BM22" s="67"/>
      <c r="BN22" s="67"/>
      <c r="BO22" s="67"/>
      <c r="BP22" s="67"/>
      <c r="BQ22" s="67"/>
      <c r="BR22" s="67"/>
      <c r="BS22" s="67"/>
      <c r="BT22" s="67"/>
      <c r="BU22" s="67"/>
      <c r="BV22" s="67"/>
      <c r="BW22" s="67"/>
      <c r="BX22" s="67"/>
      <c r="BY22" s="67"/>
      <c r="BZ22" s="67"/>
      <c r="CA22" s="67"/>
      <c r="CB22" s="67"/>
      <c r="CC22" s="67"/>
      <c r="CD22" s="67"/>
      <c r="CE22" s="67"/>
      <c r="CF22" s="67"/>
      <c r="CG22" s="67"/>
      <c r="CH22" s="67"/>
      <c r="CI22" s="67"/>
      <c r="CJ22" s="67"/>
      <c r="CK22" s="67"/>
      <c r="CL22" s="67"/>
      <c r="CM22" s="67"/>
      <c r="CN22" s="67"/>
      <c r="CO22" s="67"/>
      <c r="CP22" s="67"/>
      <c r="CQ22" s="67"/>
      <c r="CR22" s="67"/>
      <c r="CS22" s="67"/>
      <c r="CT22" s="67"/>
      <c r="CU22" s="67"/>
      <c r="CV22" s="67"/>
      <c r="CW22" s="67"/>
      <c r="CX22" s="67"/>
      <c r="CY22" s="67"/>
      <c r="CZ22" s="67"/>
      <c r="DA22" s="67"/>
      <c r="DB22" s="67"/>
      <c r="DC22" s="67"/>
      <c r="DD22" s="67"/>
      <c r="DE22" s="67"/>
      <c r="DF22" s="67"/>
      <c r="DG22" s="67"/>
      <c r="DH22" s="67"/>
      <c r="DI22" s="67"/>
      <c r="DJ22" s="67"/>
      <c r="DK22" s="67"/>
      <c r="DL22" s="67"/>
      <c r="DM22" s="67"/>
      <c r="DN22" s="67"/>
      <c r="DO22" s="67"/>
      <c r="DP22" s="67"/>
      <c r="DQ22" s="67"/>
    </row>
    <row r="23" spans="1:141" s="68" customFormat="1" ht="15" x14ac:dyDescent="0.2">
      <c r="A23" s="43" t="str">
        <f t="shared" si="0"/>
        <v>18mm-1827GA</v>
      </c>
      <c r="B23" s="43"/>
      <c r="C23" s="64"/>
      <c r="D23" s="158" t="s">
        <v>154</v>
      </c>
      <c r="E23" s="153" t="str">
        <f>IFERROR(INDEX(Master_Table[],MATCH(A23,Master_Table[PF+CCT+Tech],0),9),"-")</f>
        <v>BXRV-DR-1827G-4000-A-13</v>
      </c>
      <c r="F23" s="153" t="s">
        <v>15</v>
      </c>
      <c r="G23" s="153">
        <f>IFERROR(IF(AND(((Simulator!N$14)&lt;=P23),(N$14&gt;=N23)),MROUND(Calculations!AN11,50),"-"),"-")</f>
        <v>2100</v>
      </c>
      <c r="H23" s="153">
        <f>IF(AND(((Simulator!N$14)&lt;=P23),(N$14&gt;=0),(P23&lt;9E+307)),N$14,"-")</f>
        <v>250</v>
      </c>
      <c r="I23" s="154">
        <f>IF(AND(((Simulator!N$14)&lt;=P23),(N$14&gt;=0),(P23&lt;9E+307)),Calculations!Y11,"-")</f>
        <v>31.336569797961005</v>
      </c>
      <c r="J23" s="154">
        <f>IF(AND(((Simulator!N$14)&lt;=P23),(N$14&gt;=0),(P23&lt;9E+307)),(Simulator!H23*Simulator!I23/1000),"-")</f>
        <v>7.8341424494902512</v>
      </c>
      <c r="K23" s="153">
        <f>IF(AND(((Simulator!N$14)&lt;=P23),(N$14&gt;=0),(P23&lt;9E+307)),(Calculations!O11),"-")</f>
        <v>811.75469517824376</v>
      </c>
      <c r="L23" s="153">
        <f>IF(AND(((Simulator!N$14)&lt;=P23),(N$14&gt;=0),(P23&lt;9E+307)),(K23/J23),"-")</f>
        <v>103.61755615396841</v>
      </c>
      <c r="M23" s="153">
        <f>IF(AND(((Simulator!N$14)&lt;=P23),(N$14&gt;=0),(P23&lt;9E+307)),(0.9*K23),"-")</f>
        <v>730.57922566041941</v>
      </c>
      <c r="N23" s="153">
        <f>IFERROR(INDEX(Master_Table[],MATCH($A23,Master_Table[PF+CCT+Tech],0),COLUMN(Master_Table[MinCurrent])),"-")</f>
        <v>20</v>
      </c>
      <c r="O23" s="153">
        <f>IFERROR(INDEX(Master_Table[],MATCH(A23,Master_Table[PF+CCT+Tech],0),COLUMN(Master_Table[Typical Current])),"-")</f>
        <v>1290</v>
      </c>
      <c r="P23" s="159">
        <f>IFERROR(INDEX(Master_Table[],MATCH($A23,Master_Table[PF+CCT+Tech],0),COLUMN(Master_Table[Max Current])),"-")</f>
        <v>1400</v>
      </c>
      <c r="Q23" s="155"/>
      <c r="R23" s="65"/>
      <c r="S23" s="66"/>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c r="AT23" s="67"/>
      <c r="AU23" s="67"/>
      <c r="AV23" s="67"/>
      <c r="AW23" s="67"/>
      <c r="AX23" s="67"/>
      <c r="AY23" s="67"/>
      <c r="AZ23" s="67"/>
      <c r="BA23" s="67"/>
      <c r="BB23" s="67"/>
      <c r="BC23" s="67"/>
      <c r="BD23" s="67"/>
      <c r="BE23" s="67"/>
      <c r="BF23" s="67"/>
      <c r="BG23" s="67"/>
      <c r="BH23" s="67"/>
      <c r="BI23" s="67"/>
      <c r="BJ23" s="67"/>
      <c r="BK23" s="67"/>
      <c r="BL23" s="67"/>
      <c r="BM23" s="67"/>
      <c r="BN23" s="67"/>
      <c r="BO23" s="67"/>
      <c r="BP23" s="67"/>
      <c r="BQ23" s="67"/>
      <c r="BR23" s="67"/>
      <c r="BS23" s="67"/>
      <c r="BT23" s="67"/>
      <c r="BU23" s="67"/>
      <c r="BV23" s="67"/>
      <c r="BW23" s="67"/>
      <c r="BX23" s="67"/>
      <c r="BY23" s="67"/>
      <c r="BZ23" s="67"/>
      <c r="CA23" s="67"/>
      <c r="CB23" s="67"/>
      <c r="CC23" s="67"/>
      <c r="CD23" s="67"/>
      <c r="CE23" s="67"/>
      <c r="CF23" s="67"/>
      <c r="CG23" s="67"/>
      <c r="CH23" s="67"/>
      <c r="CI23" s="67"/>
      <c r="CJ23" s="67"/>
      <c r="CK23" s="67"/>
      <c r="CL23" s="67"/>
      <c r="CM23" s="67"/>
      <c r="CN23" s="67"/>
      <c r="CO23" s="67"/>
      <c r="CP23" s="67"/>
      <c r="CQ23" s="67"/>
      <c r="CR23" s="67"/>
      <c r="CS23" s="67"/>
      <c r="CT23" s="67"/>
      <c r="CU23" s="67"/>
      <c r="CV23" s="67"/>
      <c r="CW23" s="67"/>
      <c r="CX23" s="67"/>
      <c r="CY23" s="67"/>
      <c r="CZ23" s="67"/>
      <c r="DA23" s="67"/>
      <c r="DB23" s="67"/>
      <c r="DC23" s="67"/>
      <c r="DD23" s="67"/>
      <c r="DE23" s="67"/>
      <c r="DF23" s="67"/>
      <c r="DG23" s="67"/>
      <c r="DH23" s="67"/>
      <c r="DI23" s="67"/>
      <c r="DJ23" s="67"/>
      <c r="DK23" s="67"/>
      <c r="DL23" s="67"/>
      <c r="DM23" s="67"/>
      <c r="DN23" s="67"/>
      <c r="DO23" s="67"/>
      <c r="DP23" s="67"/>
      <c r="DQ23" s="67"/>
    </row>
    <row r="24" spans="1:141" s="68" customFormat="1" ht="15" x14ac:dyDescent="0.2">
      <c r="A24" s="43" t="str">
        <f t="shared" si="0"/>
        <v>29mm-1827GA</v>
      </c>
      <c r="B24" s="43"/>
      <c r="C24" s="64"/>
      <c r="D24" s="162" t="s">
        <v>155</v>
      </c>
      <c r="E24" s="163" t="str">
        <f>IFERROR(INDEX(Master_Table[],MATCH(A24,Master_Table[PF+CCT+Tech],0),9),"-")</f>
        <v>BXRV-DR-1827G-10K0-A-13</v>
      </c>
      <c r="F24" s="163" t="s">
        <v>15</v>
      </c>
      <c r="G24" s="163">
        <f>IFERROR(IF(AND(((Simulator!N$14)&lt;=P24),(N$14&gt;=N24)),MROUND(Calculations!AN12,50),"-"),"-")</f>
        <v>1950</v>
      </c>
      <c r="H24" s="163">
        <f>IF(AND(((Simulator!N$14)&lt;=P24),(N$14&gt;=0),(P24&lt;9E+307)),N$14,"-")</f>
        <v>250</v>
      </c>
      <c r="I24" s="164">
        <f>IF(AND(((Simulator!N$14)&lt;=P24),(N$14&gt;=0),(P24&lt;9E+307)),Calculations!Y12,"-")</f>
        <v>40.888917046358728</v>
      </c>
      <c r="J24" s="164">
        <f>IF(AND(((Simulator!N$14)&lt;=P24),(N$14&gt;=0),(P24&lt;9E+307)),(Simulator!H24*Simulator!I24/1000),"-")</f>
        <v>10.222229261589682</v>
      </c>
      <c r="K24" s="163">
        <f>IF(AND(((Simulator!N$14)&lt;=P24),(N$14&gt;=0),(P24&lt;9E+307)),(Calculations!O12),"-")</f>
        <v>1142.5317763484293</v>
      </c>
      <c r="L24" s="163">
        <f>IF(AND(((Simulator!N$14)&lt;=P24),(N$14&gt;=0),(P24&lt;9E+307)),(K24/J24),"-")</f>
        <v>111.76933593551115</v>
      </c>
      <c r="M24" s="163">
        <f>IF(AND(((Simulator!N$14)&lt;=P24),(N$14&gt;=0),(P24&lt;9E+307)),(0.9*K24),"-")</f>
        <v>1028.2785987135865</v>
      </c>
      <c r="N24" s="163">
        <f>IFERROR(INDEX(Master_Table[],MATCH($A24,Master_Table[PF+CCT+Tech],0),COLUMN(Master_Table[MinCurrent])),"-")</f>
        <v>40</v>
      </c>
      <c r="O24" s="163">
        <f>IFERROR(INDEX(Master_Table[],MATCH(A24,Master_Table[PF+CCT+Tech],0),COLUMN(Master_Table[Typical Current])),"-")</f>
        <v>2350</v>
      </c>
      <c r="P24" s="165">
        <f>IFERROR(INDEX(Master_Table[],MATCH($A24,Master_Table[PF+CCT+Tech],0),COLUMN(Master_Table[Max Current])),"-")</f>
        <v>2500</v>
      </c>
      <c r="Q24" s="155"/>
      <c r="R24" s="65"/>
      <c r="S24" s="66"/>
      <c r="T24" s="67"/>
      <c r="U24" s="67"/>
      <c r="V24" s="286"/>
      <c r="W24" s="67"/>
      <c r="X24" s="67"/>
      <c r="Y24" s="67"/>
      <c r="Z24" s="67"/>
      <c r="AA24" s="67"/>
      <c r="AB24" s="67"/>
      <c r="AC24" s="67"/>
      <c r="AD24" s="67"/>
      <c r="AE24" s="67"/>
      <c r="AF24" s="67"/>
      <c r="AG24" s="67"/>
      <c r="AH24" s="67"/>
      <c r="AI24" s="67"/>
      <c r="AJ24" s="67"/>
      <c r="AK24" s="67"/>
      <c r="AL24" s="67"/>
      <c r="AM24" s="67"/>
      <c r="AN24" s="67"/>
      <c r="AO24" s="67"/>
      <c r="AP24" s="67"/>
      <c r="AQ24" s="67"/>
      <c r="AR24" s="67"/>
      <c r="AS24" s="67"/>
      <c r="AT24" s="67"/>
      <c r="AU24" s="67"/>
      <c r="AV24" s="67"/>
      <c r="AW24" s="67"/>
      <c r="AX24" s="67"/>
      <c r="AY24" s="67"/>
      <c r="AZ24" s="67"/>
      <c r="BA24" s="67"/>
      <c r="BB24" s="67"/>
      <c r="BC24" s="67"/>
      <c r="BD24" s="67"/>
      <c r="BE24" s="67"/>
      <c r="BF24" s="67"/>
      <c r="BG24" s="67"/>
      <c r="BH24" s="67"/>
      <c r="BI24" s="67"/>
      <c r="BJ24" s="67"/>
      <c r="BK24" s="67"/>
      <c r="BL24" s="67"/>
      <c r="BM24" s="67"/>
      <c r="BN24" s="67"/>
      <c r="BO24" s="67"/>
      <c r="BP24" s="67"/>
      <c r="BQ24" s="67"/>
      <c r="BR24" s="67"/>
      <c r="BS24" s="67"/>
      <c r="BT24" s="67"/>
      <c r="BU24" s="67"/>
      <c r="BV24" s="67"/>
      <c r="BW24" s="67"/>
      <c r="BX24" s="67"/>
      <c r="BY24" s="67"/>
      <c r="BZ24" s="67"/>
      <c r="CA24" s="67"/>
      <c r="CB24" s="67"/>
      <c r="CC24" s="67"/>
      <c r="CD24" s="67"/>
      <c r="CE24" s="67"/>
      <c r="CF24" s="67"/>
      <c r="CG24" s="67"/>
      <c r="CH24" s="67"/>
      <c r="CI24" s="67"/>
      <c r="CJ24" s="67"/>
      <c r="CK24" s="67"/>
      <c r="CL24" s="67"/>
      <c r="CM24" s="67"/>
      <c r="CN24" s="67"/>
      <c r="CO24" s="67"/>
      <c r="CP24" s="67"/>
      <c r="CQ24" s="67"/>
      <c r="CR24" s="67"/>
      <c r="CS24" s="67"/>
      <c r="CT24" s="67"/>
      <c r="CU24" s="67"/>
      <c r="CV24" s="67"/>
      <c r="CW24" s="67"/>
      <c r="CX24" s="67"/>
      <c r="CY24" s="67"/>
      <c r="CZ24" s="67"/>
      <c r="DA24" s="67"/>
      <c r="DB24" s="67"/>
      <c r="DC24" s="67"/>
      <c r="DD24" s="67"/>
      <c r="DE24" s="67"/>
      <c r="DF24" s="67"/>
      <c r="DG24" s="67"/>
      <c r="DH24" s="67"/>
      <c r="DI24" s="67"/>
      <c r="DJ24" s="67"/>
      <c r="DK24" s="67"/>
      <c r="DL24" s="67"/>
      <c r="DM24" s="67"/>
      <c r="DN24" s="67"/>
      <c r="DO24" s="67"/>
      <c r="DP24" s="67"/>
      <c r="DQ24" s="67"/>
    </row>
    <row r="25" spans="1:141" s="63" customFormat="1" ht="15" x14ac:dyDescent="0.2">
      <c r="A25" s="43"/>
      <c r="B25" s="43"/>
      <c r="C25" s="59"/>
      <c r="D25" s="69"/>
      <c r="E25" s="70"/>
      <c r="F25" s="70"/>
      <c r="G25" s="58"/>
      <c r="H25" s="70"/>
      <c r="I25" s="70"/>
      <c r="J25" s="70"/>
      <c r="K25" s="70"/>
      <c r="L25" s="71"/>
      <c r="M25" s="71"/>
      <c r="N25" s="70"/>
      <c r="O25" s="70"/>
      <c r="P25" s="70"/>
      <c r="Q25" s="71"/>
      <c r="R25" s="60"/>
      <c r="S25" s="61"/>
      <c r="T25" s="62"/>
      <c r="U25" s="62"/>
      <c r="V25" s="62"/>
      <c r="W25" s="62"/>
      <c r="X25" s="62"/>
      <c r="Y25" s="62"/>
      <c r="Z25" s="62"/>
      <c r="AA25" s="62"/>
      <c r="AB25" s="62"/>
      <c r="AC25" s="62"/>
      <c r="AD25" s="62"/>
      <c r="AE25" s="62"/>
      <c r="AF25" s="62"/>
      <c r="AG25" s="62"/>
      <c r="AH25" s="62"/>
      <c r="AI25" s="62"/>
      <c r="AJ25" s="62"/>
      <c r="AK25" s="62"/>
      <c r="AL25" s="62"/>
      <c r="AM25" s="62"/>
      <c r="AN25" s="62"/>
      <c r="AO25" s="62"/>
      <c r="AP25" s="62"/>
      <c r="AQ25" s="62"/>
      <c r="AR25" s="62"/>
      <c r="AS25" s="62"/>
      <c r="AT25" s="62"/>
      <c r="AU25" s="62"/>
      <c r="AV25" s="62"/>
      <c r="AW25" s="62"/>
      <c r="AX25" s="62"/>
      <c r="AY25" s="62"/>
      <c r="AZ25" s="62"/>
      <c r="BA25" s="62"/>
      <c r="BB25" s="62"/>
      <c r="BC25" s="62"/>
      <c r="BD25" s="62"/>
      <c r="BE25" s="62"/>
      <c r="BF25" s="62"/>
      <c r="BG25" s="62"/>
      <c r="BH25" s="62"/>
      <c r="BI25" s="62"/>
      <c r="BJ25" s="62"/>
      <c r="BK25" s="62"/>
      <c r="BL25" s="62"/>
      <c r="BM25" s="62"/>
      <c r="BN25" s="62"/>
      <c r="BO25" s="62"/>
      <c r="BP25" s="62"/>
      <c r="BQ25" s="62"/>
      <c r="BR25" s="62"/>
      <c r="BS25" s="62"/>
      <c r="BT25" s="62"/>
      <c r="BU25" s="62"/>
      <c r="BV25" s="62"/>
      <c r="BW25" s="62"/>
      <c r="BX25" s="62"/>
      <c r="BY25" s="62"/>
      <c r="BZ25" s="62"/>
      <c r="CA25" s="62"/>
      <c r="CB25" s="62"/>
      <c r="CC25" s="62"/>
      <c r="CD25" s="62"/>
      <c r="CE25" s="62"/>
      <c r="CF25" s="62"/>
      <c r="CG25" s="62"/>
      <c r="CH25" s="62"/>
      <c r="CI25" s="62"/>
      <c r="CJ25" s="62"/>
      <c r="CK25" s="62"/>
      <c r="CL25" s="62"/>
      <c r="CM25" s="62"/>
      <c r="CN25" s="62"/>
      <c r="CO25" s="62"/>
      <c r="CP25" s="62"/>
      <c r="CQ25" s="62"/>
      <c r="CR25" s="62"/>
      <c r="CS25" s="62"/>
      <c r="CT25" s="62"/>
      <c r="CU25" s="62"/>
      <c r="CV25" s="62"/>
      <c r="CW25" s="62"/>
      <c r="CX25" s="62"/>
      <c r="CY25" s="62"/>
      <c r="CZ25" s="62"/>
      <c r="DA25" s="62"/>
      <c r="DB25" s="62"/>
      <c r="DC25" s="62"/>
      <c r="DD25" s="62"/>
      <c r="DE25" s="62"/>
      <c r="DF25" s="62"/>
      <c r="DG25" s="62"/>
      <c r="DH25" s="62"/>
      <c r="DI25" s="62"/>
      <c r="DJ25" s="62"/>
      <c r="DK25" s="62"/>
      <c r="DL25" s="62"/>
      <c r="DM25" s="62"/>
      <c r="DN25" s="62"/>
      <c r="DO25" s="62"/>
      <c r="DP25" s="62"/>
      <c r="DQ25" s="62"/>
    </row>
    <row r="26" spans="1:141" s="10" customFormat="1" ht="63.75" x14ac:dyDescent="0.25">
      <c r="A26" s="43"/>
      <c r="B26" s="43"/>
      <c r="C26" s="26"/>
      <c r="D26" s="259" t="s">
        <v>47</v>
      </c>
      <c r="E26" s="260" t="s">
        <v>6</v>
      </c>
      <c r="F26" s="260" t="s">
        <v>13</v>
      </c>
      <c r="G26" s="260" t="s">
        <v>2</v>
      </c>
      <c r="H26" s="260" t="s">
        <v>111</v>
      </c>
      <c r="I26" s="260" t="s">
        <v>107</v>
      </c>
      <c r="J26" s="260" t="s">
        <v>108</v>
      </c>
      <c r="K26" s="260" t="str">
        <f>"Lumen DC @ 
"&amp;$D$10&amp;" = "&amp;$I$8&amp;"°C"</f>
        <v>Lumen DC @ 
Case = 25°C</v>
      </c>
      <c r="L26" s="260" t="str">
        <f>"Efficacy DC @ 
"&amp;$D$10&amp;" = "&amp;$I$8&amp;"°C"</f>
        <v>Efficacy DC @ 
Case = 25°C</v>
      </c>
      <c r="M26" s="260" t="str">
        <f>"Min. Lumen DC @ 
"&amp;$D$10&amp;" = "&amp;$I$8&amp;"°C"</f>
        <v>Min. Lumen DC @ 
Case = 25°C</v>
      </c>
      <c r="N26" s="260" t="s">
        <v>153</v>
      </c>
      <c r="O26" s="260" t="s">
        <v>109</v>
      </c>
      <c r="P26" s="261" t="s">
        <v>14</v>
      </c>
      <c r="Q26" s="253"/>
      <c r="R26" s="30"/>
      <c r="S26" s="55"/>
      <c r="T26" s="307"/>
      <c r="U26" s="308"/>
      <c r="V26" s="308"/>
      <c r="W26" s="308"/>
      <c r="X26" s="34"/>
      <c r="Y26" s="34"/>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c r="CM26" s="9"/>
      <c r="CN26" s="9"/>
      <c r="CO26" s="9"/>
      <c r="CP26" s="9"/>
      <c r="CQ26" s="9"/>
      <c r="CR26" s="9"/>
      <c r="CS26" s="9"/>
      <c r="CT26" s="9"/>
      <c r="CU26" s="9"/>
      <c r="CV26" s="9"/>
      <c r="CW26" s="9"/>
      <c r="CX26" s="9"/>
      <c r="CY26" s="9"/>
      <c r="CZ26" s="9"/>
      <c r="DA26" s="9"/>
      <c r="DB26" s="9"/>
      <c r="DC26" s="9"/>
      <c r="DD26" s="9"/>
      <c r="DE26" s="9"/>
      <c r="DF26" s="9"/>
      <c r="DG26" s="9"/>
      <c r="DH26" s="9"/>
      <c r="DI26" s="9"/>
      <c r="DJ26" s="9"/>
      <c r="DK26" s="9"/>
      <c r="DL26" s="9"/>
      <c r="DM26" s="9"/>
      <c r="DN26" s="9"/>
      <c r="DO26" s="9"/>
      <c r="DP26" s="9"/>
      <c r="DQ26" s="9"/>
      <c r="DU26" s="11"/>
      <c r="DV26" s="11"/>
      <c r="DW26" s="11"/>
      <c r="DX26" s="11"/>
      <c r="DY26" s="11"/>
      <c r="DZ26" s="11"/>
      <c r="EA26" s="11"/>
      <c r="EB26" s="11"/>
      <c r="EC26" s="11"/>
      <c r="ED26" s="11"/>
      <c r="EE26" s="11"/>
      <c r="EF26" s="11"/>
      <c r="EG26" s="11"/>
      <c r="EH26" s="11"/>
      <c r="EI26" s="11"/>
      <c r="EJ26" s="11"/>
      <c r="EK26" s="11"/>
    </row>
    <row r="27" spans="1:141" s="63" customFormat="1" ht="15" x14ac:dyDescent="0.2">
      <c r="A27" s="43" t="str">
        <f t="shared" ref="A27:A34" si="1">D27&amp;C27&amp;"-"&amp;L$6&amp;F27</f>
        <v>Vesta-SE 6mm-1827GA</v>
      </c>
      <c r="B27" s="43"/>
      <c r="C27" s="59"/>
      <c r="D27" s="158" t="s">
        <v>159</v>
      </c>
      <c r="E27" s="153" t="str">
        <f>IFERROR(INDEX(Master_Table[],MATCH(A27,Master_Table[PF+CCT+Tech],0),9),"-")</f>
        <v>BXRV-DR-1827G-0600-A-13-SE</v>
      </c>
      <c r="F27" s="153" t="s">
        <v>15</v>
      </c>
      <c r="G27" s="153">
        <f>IFERROR(IF(AND(((Simulator!N$14)&lt;=P27),(N$14&gt;=N27)),MROUND(Calculations!AN13,50),"-"),"-")</f>
        <v>2600</v>
      </c>
      <c r="H27" s="153">
        <f>IF(AND(((Simulator!N$14)&lt;=P27),(N$14&gt;=0),(P27&lt;9E+307)),N$14,"-")</f>
        <v>250</v>
      </c>
      <c r="I27" s="154">
        <f>IF(AND(((Simulator!N$14)&lt;=P27),(N$14&gt;=0),(P27&lt;9E+307)),Calculations!Y13,"-")</f>
        <v>16.125974405777789</v>
      </c>
      <c r="J27" s="154">
        <f>IF(AND(((Simulator!N$14)&lt;=P27),(N$14&gt;=0),(P27&lt;9E+307)),(Simulator!H27*Simulator!I27/1000),"-")</f>
        <v>4.0314936014444473</v>
      </c>
      <c r="K27" s="153">
        <f>IF(AND(((Simulator!N$14)&lt;=P27),(N$14&gt;=0),(P27&lt;9E+307)),(Calculations!O13),"-")</f>
        <v>400.50577285320941</v>
      </c>
      <c r="L27" s="153">
        <f>IF(AND(((Simulator!N$14)&lt;=P27),(N$14&gt;=0),(P27&lt;9E+307)),(K27/J27),"-")</f>
        <v>99.344266033241837</v>
      </c>
      <c r="M27" s="153">
        <f>IF(AND(((Simulator!N$14)&lt;=P27),(N$14&gt;=0),(P27&lt;9E+307)),(0.9*K27),"-")</f>
        <v>360.4551955678885</v>
      </c>
      <c r="N27" s="153">
        <f>IFERROR(INDEX(Master_Table[],MATCH($A27,Master_Table[PF+CCT+Tech],0),COLUMN(Master_Table[MinCurrent])),"-")</f>
        <v>14</v>
      </c>
      <c r="O27" s="153">
        <f>IFERROR(INDEX(Master_Table[],MATCH($A27,Master_Table[PF+CCT+Tech],0),COLUMN(Master_Table[Typical Current])),"-")</f>
        <v>350</v>
      </c>
      <c r="P27" s="159">
        <f>IFERROR(INDEX(Master_Table[],MATCH($A27,Master_Table[PF+CCT+Tech],0),COLUMN(Master_Table[Max Current])),"-")</f>
        <v>420</v>
      </c>
      <c r="Q27" s="159"/>
      <c r="R27" s="60"/>
      <c r="S27" s="61"/>
      <c r="T27" s="62"/>
      <c r="U27" s="62"/>
      <c r="V27" s="62"/>
      <c r="W27" s="62"/>
      <c r="X27" s="62"/>
      <c r="Y27" s="62"/>
      <c r="Z27" s="62"/>
      <c r="AA27" s="62"/>
      <c r="AB27" s="62"/>
      <c r="AC27" s="62"/>
      <c r="AD27" s="62"/>
      <c r="AE27" s="62"/>
      <c r="AF27" s="62"/>
      <c r="AG27" s="62"/>
      <c r="AH27" s="62"/>
      <c r="AI27" s="62"/>
      <c r="AJ27" s="62"/>
      <c r="AK27" s="62"/>
      <c r="AL27" s="62"/>
      <c r="AM27" s="62"/>
      <c r="AN27" s="62"/>
      <c r="AO27" s="62"/>
      <c r="AP27" s="62"/>
      <c r="AQ27" s="62"/>
      <c r="AR27" s="62"/>
      <c r="AS27" s="62"/>
      <c r="AT27" s="62"/>
      <c r="AU27" s="62"/>
      <c r="AV27" s="62"/>
      <c r="AW27" s="62"/>
      <c r="AX27" s="62"/>
      <c r="AY27" s="62"/>
      <c r="AZ27" s="62"/>
      <c r="BA27" s="62"/>
      <c r="BB27" s="62"/>
      <c r="BC27" s="62"/>
      <c r="BD27" s="62"/>
      <c r="BE27" s="62"/>
      <c r="BF27" s="62"/>
      <c r="BG27" s="62"/>
      <c r="BH27" s="62"/>
      <c r="BI27" s="62"/>
      <c r="BJ27" s="62"/>
      <c r="BK27" s="62"/>
      <c r="BL27" s="62"/>
      <c r="BM27" s="62"/>
      <c r="BN27" s="62"/>
      <c r="BO27" s="62"/>
      <c r="BP27" s="62"/>
      <c r="BQ27" s="62"/>
      <c r="BR27" s="62"/>
      <c r="BS27" s="62"/>
      <c r="BT27" s="62"/>
      <c r="BU27" s="62"/>
      <c r="BV27" s="62"/>
      <c r="BW27" s="62"/>
      <c r="BX27" s="62"/>
      <c r="BY27" s="62"/>
      <c r="BZ27" s="62"/>
      <c r="CA27" s="62"/>
      <c r="CB27" s="62"/>
      <c r="CC27" s="62"/>
      <c r="CD27" s="62"/>
      <c r="CE27" s="62"/>
      <c r="CF27" s="62"/>
      <c r="CG27" s="62"/>
      <c r="CH27" s="62"/>
      <c r="CI27" s="62"/>
      <c r="CJ27" s="62"/>
      <c r="CK27" s="62"/>
      <c r="CL27" s="62"/>
      <c r="CM27" s="62"/>
      <c r="CN27" s="62"/>
      <c r="CO27" s="62"/>
      <c r="CP27" s="62"/>
      <c r="CQ27" s="62"/>
      <c r="CR27" s="62"/>
      <c r="CS27" s="62"/>
      <c r="CT27" s="62"/>
      <c r="CU27" s="62"/>
      <c r="CV27" s="62"/>
      <c r="CW27" s="62"/>
      <c r="CX27" s="62"/>
      <c r="CY27" s="62"/>
      <c r="CZ27" s="62"/>
      <c r="DA27" s="62"/>
      <c r="DB27" s="62"/>
      <c r="DC27" s="62"/>
      <c r="DD27" s="62"/>
      <c r="DE27" s="62"/>
      <c r="DF27" s="62"/>
      <c r="DG27" s="62"/>
      <c r="DH27" s="62"/>
      <c r="DI27" s="62"/>
      <c r="DJ27" s="62"/>
      <c r="DK27" s="62"/>
      <c r="DL27" s="62"/>
      <c r="DM27" s="62"/>
      <c r="DN27" s="62"/>
      <c r="DO27" s="62"/>
      <c r="DP27" s="62"/>
      <c r="DQ27" s="62"/>
    </row>
    <row r="28" spans="1:141" s="63" customFormat="1" ht="15" x14ac:dyDescent="0.2">
      <c r="A28" s="43" t="str">
        <f t="shared" si="1"/>
        <v>Vesta-SE 9mm-1827GG</v>
      </c>
      <c r="B28" s="43"/>
      <c r="C28" s="59"/>
      <c r="D28" s="160" t="s">
        <v>160</v>
      </c>
      <c r="E28" s="155" t="str">
        <f>IFERROR(INDEX(Master_Table[],MATCH(A28,Master_Table[PF+CCT+Tech],0),9),"-")</f>
        <v>BXRV-DR-1827G-1000-G-13-SE</v>
      </c>
      <c r="F28" s="155" t="s">
        <v>97</v>
      </c>
      <c r="G28" s="155">
        <f>IFERROR(IF(AND(((Simulator!N$14)&lt;=P28),(N$14&gt;=N28)),MROUND(Calculations!AN14,50),"-"),"-")</f>
        <v>2700</v>
      </c>
      <c r="H28" s="155">
        <f>IF(AND(((Simulator!N$14)&lt;=P28),(N$14&gt;=0),(P28&lt;9E+307)),N$14,"-")</f>
        <v>250</v>
      </c>
      <c r="I28" s="156">
        <f>IF(AND(((Simulator!N$14)&lt;=P28),(N$14&gt;=0),(P28&lt;9E+307)),Calculations!Y14,"-")</f>
        <v>17.000000000000014</v>
      </c>
      <c r="J28" s="156">
        <f>IF(AND(((Simulator!N$14)&lt;=P28),(N$14&gt;=0),(P28&lt;9E+307)),(Simulator!H28*Simulator!I28/1000),"-")</f>
        <v>4.2500000000000036</v>
      </c>
      <c r="K28" s="155">
        <f>IF(AND(((Simulator!N$14)&lt;=P28),(N$14&gt;=0),(P28&lt;9E+307)),(Calculations!O14),"-")</f>
        <v>416.11020031014283</v>
      </c>
      <c r="L28" s="155">
        <f>IF(AND(((Simulator!N$14)&lt;=P28),(N$14&gt;=0),(P28&lt;9E+307)),(K28/J28),"-")</f>
        <v>97.908282425915871</v>
      </c>
      <c r="M28" s="155">
        <f>IF(AND(((Simulator!N$14)&lt;=P28),(N$14&gt;=0),(P28&lt;9E+307)),(0.9*K28),"-")</f>
        <v>374.49918027912855</v>
      </c>
      <c r="N28" s="155">
        <f>IFERROR(INDEX(Master_Table[],MATCH($A28,Master_Table[PF+CCT+Tech],0),COLUMN(Master_Table[MinCurrent])),"-")</f>
        <v>14</v>
      </c>
      <c r="O28" s="155">
        <f>IFERROR(INDEX(Master_Table[],MATCH(A28,Master_Table[PF+CCT+Tech],0),COLUMN(Master_Table[Typical Current])),"-")</f>
        <v>250</v>
      </c>
      <c r="P28" s="161">
        <f>IFERROR(INDEX(Master_Table[],MATCH($A28,Master_Table[PF+CCT+Tech],0),COLUMN(Master_Table[Max Current])),"-")</f>
        <v>300</v>
      </c>
      <c r="Q28" s="161"/>
      <c r="R28" s="60"/>
      <c r="S28" s="61"/>
      <c r="T28" s="62"/>
      <c r="U28" s="62"/>
      <c r="V28" s="62"/>
      <c r="W28" s="62"/>
      <c r="X28" s="62"/>
      <c r="Y28" s="62"/>
      <c r="Z28" s="62"/>
      <c r="AA28" s="62"/>
      <c r="AB28" s="62"/>
      <c r="AC28" s="62"/>
      <c r="AD28" s="62"/>
      <c r="AE28" s="62"/>
      <c r="AF28" s="62"/>
      <c r="AG28" s="62"/>
      <c r="AH28" s="62"/>
      <c r="AI28" s="62"/>
      <c r="AJ28" s="62"/>
      <c r="AK28" s="62"/>
      <c r="AL28" s="62"/>
      <c r="AM28" s="62"/>
      <c r="AN28" s="62"/>
      <c r="AO28" s="62"/>
      <c r="AP28" s="62"/>
      <c r="AQ28" s="62"/>
      <c r="AR28" s="62"/>
      <c r="AS28" s="62"/>
      <c r="AT28" s="62"/>
      <c r="AU28" s="62"/>
      <c r="AV28" s="62"/>
      <c r="AW28" s="62"/>
      <c r="AX28" s="62"/>
      <c r="AY28" s="62"/>
      <c r="AZ28" s="62"/>
      <c r="BA28" s="62"/>
      <c r="BB28" s="62"/>
      <c r="BC28" s="62"/>
      <c r="BD28" s="62"/>
      <c r="BE28" s="62"/>
      <c r="BF28" s="62"/>
      <c r="BG28" s="62"/>
      <c r="BH28" s="62"/>
      <c r="BI28" s="62"/>
      <c r="BJ28" s="62"/>
      <c r="BK28" s="62"/>
      <c r="BL28" s="62"/>
      <c r="BM28" s="62"/>
      <c r="BN28" s="62"/>
      <c r="BO28" s="62"/>
      <c r="BP28" s="62"/>
      <c r="BQ28" s="62"/>
      <c r="BR28" s="62"/>
      <c r="BS28" s="62"/>
      <c r="BT28" s="62"/>
      <c r="BU28" s="62"/>
      <c r="BV28" s="62"/>
      <c r="BW28" s="62"/>
      <c r="BX28" s="62"/>
      <c r="BY28" s="62"/>
      <c r="BZ28" s="62"/>
      <c r="CA28" s="62"/>
      <c r="CB28" s="62"/>
      <c r="CC28" s="62"/>
      <c r="CD28" s="62"/>
      <c r="CE28" s="62"/>
      <c r="CF28" s="62"/>
      <c r="CG28" s="62"/>
      <c r="CH28" s="62"/>
      <c r="CI28" s="62"/>
      <c r="CJ28" s="62"/>
      <c r="CK28" s="62"/>
      <c r="CL28" s="62"/>
      <c r="CM28" s="62"/>
      <c r="CN28" s="62"/>
      <c r="CO28" s="62"/>
      <c r="CP28" s="62"/>
      <c r="CQ28" s="62"/>
      <c r="CR28" s="62"/>
      <c r="CS28" s="62"/>
      <c r="CT28" s="62"/>
      <c r="CU28" s="62"/>
      <c r="CV28" s="62"/>
      <c r="CW28" s="62"/>
      <c r="CX28" s="62"/>
      <c r="CY28" s="62"/>
      <c r="CZ28" s="62"/>
      <c r="DA28" s="62"/>
      <c r="DB28" s="62"/>
      <c r="DC28" s="62"/>
      <c r="DD28" s="62"/>
      <c r="DE28" s="62"/>
      <c r="DF28" s="62"/>
      <c r="DG28" s="62"/>
      <c r="DH28" s="62"/>
      <c r="DI28" s="62"/>
      <c r="DJ28" s="62"/>
      <c r="DK28" s="62"/>
      <c r="DL28" s="62"/>
      <c r="DM28" s="62"/>
      <c r="DN28" s="62"/>
      <c r="DO28" s="62"/>
      <c r="DP28" s="62"/>
      <c r="DQ28" s="62"/>
    </row>
    <row r="29" spans="1:141" s="63" customFormat="1" ht="15" x14ac:dyDescent="0.2">
      <c r="A29" s="43" t="str">
        <f t="shared" si="1"/>
        <v>Vesta-SE 9mm-1827GA</v>
      </c>
      <c r="B29" s="43"/>
      <c r="C29" s="59"/>
      <c r="D29" s="158" t="s">
        <v>160</v>
      </c>
      <c r="E29" s="153" t="str">
        <f>IFERROR(INDEX(Master_Table[],MATCH(A29,Master_Table[PF+CCT+Tech],0),9),"-")</f>
        <v>BXRV-DR-1827G-1000-A-13-SE</v>
      </c>
      <c r="F29" s="153" t="s">
        <v>15</v>
      </c>
      <c r="G29" s="153">
        <f>IFERROR(IF(AND(((Simulator!N$14)&lt;=P29),(N$14&gt;=N29)),MROUND(Calculations!AN15,50),"-"),"-")</f>
        <v>2600</v>
      </c>
      <c r="H29" s="153">
        <f>IF(AND(((Simulator!N$14)&lt;=P29),(N$14&gt;=0),(P29&lt;9E+307)),N$14,"-")</f>
        <v>250</v>
      </c>
      <c r="I29" s="154">
        <f>IF(AND(((Simulator!N$14)&lt;=P29),(N$14&gt;=0),(P29&lt;9E+307)),Calculations!Y15,"-")</f>
        <v>16.125974405777789</v>
      </c>
      <c r="J29" s="154">
        <f>IF(AND(((Simulator!N$14)&lt;=P29),(N$14&gt;=0),(P29&lt;9E+307)),(Simulator!H29*Simulator!I29/1000),"-")</f>
        <v>4.0314936014444473</v>
      </c>
      <c r="K29" s="153">
        <f>IF(AND(((Simulator!N$14)&lt;=P29),(N$14&gt;=0),(P29&lt;9E+307)),(Calculations!O15),"-")</f>
        <v>390.95515088235283</v>
      </c>
      <c r="L29" s="153">
        <f>IF(AND(((Simulator!N$14)&lt;=P29),(N$14&gt;=0),(P29&lt;9E+307)),(K29/J29),"-")</f>
        <v>96.975262652600307</v>
      </c>
      <c r="M29" s="153">
        <f>IF(AND(((Simulator!N$14)&lt;=P29),(N$14&gt;=0),(P29&lt;9E+307)),(0.9*K29),"-")</f>
        <v>351.85963579411754</v>
      </c>
      <c r="N29" s="153">
        <f>IFERROR(INDEX(Master_Table[],MATCH($A29,Master_Table[PF+CCT+Tech],0),COLUMN(Master_Table[MinCurrent])),"-")</f>
        <v>14</v>
      </c>
      <c r="O29" s="153">
        <f>IFERROR(INDEX(Master_Table[],MATCH(A29,Master_Table[PF+CCT+Tech],0),COLUMN(Master_Table[Typical Current])),"-")</f>
        <v>350</v>
      </c>
      <c r="P29" s="159">
        <f>IFERROR(INDEX(Master_Table[],MATCH($A29,Master_Table[PF+CCT+Tech],0),COLUMN(Master_Table[Max Current])),"-")</f>
        <v>420</v>
      </c>
      <c r="Q29" s="159"/>
      <c r="R29" s="60"/>
      <c r="S29" s="61"/>
      <c r="T29" s="62"/>
      <c r="U29" s="62"/>
      <c r="V29" s="62"/>
      <c r="W29" s="62"/>
      <c r="X29" s="62"/>
      <c r="Y29" s="62"/>
      <c r="Z29" s="62"/>
      <c r="AA29" s="62"/>
      <c r="AB29" s="62"/>
      <c r="AC29" s="62"/>
      <c r="AD29" s="62"/>
      <c r="AE29" s="62"/>
      <c r="AF29" s="62"/>
      <c r="AG29" s="62"/>
      <c r="AH29" s="62"/>
      <c r="AI29" s="62"/>
      <c r="AJ29" s="62"/>
      <c r="AK29" s="62"/>
      <c r="AL29" s="62"/>
      <c r="AM29" s="62"/>
      <c r="AN29" s="62"/>
      <c r="AO29" s="62"/>
      <c r="AP29" s="62"/>
      <c r="AQ29" s="62"/>
      <c r="AR29" s="62"/>
      <c r="AS29" s="62"/>
      <c r="AT29" s="62"/>
      <c r="AU29" s="62"/>
      <c r="AV29" s="62"/>
      <c r="AW29" s="62"/>
      <c r="AX29" s="62"/>
      <c r="AY29" s="62"/>
      <c r="AZ29" s="62"/>
      <c r="BA29" s="62"/>
      <c r="BB29" s="62"/>
      <c r="BC29" s="62"/>
      <c r="BD29" s="62"/>
      <c r="BE29" s="62"/>
      <c r="BF29" s="62"/>
      <c r="BG29" s="62"/>
      <c r="BH29" s="62"/>
      <c r="BI29" s="62"/>
      <c r="BJ29" s="62"/>
      <c r="BK29" s="62"/>
      <c r="BL29" s="62"/>
      <c r="BM29" s="62"/>
      <c r="BN29" s="62"/>
      <c r="BO29" s="62"/>
      <c r="BP29" s="62"/>
      <c r="BQ29" s="62"/>
      <c r="BR29" s="62"/>
      <c r="BS29" s="62"/>
      <c r="BT29" s="62"/>
      <c r="BU29" s="62"/>
      <c r="BV29" s="62"/>
      <c r="BW29" s="62"/>
      <c r="BX29" s="62"/>
      <c r="BY29" s="62"/>
      <c r="BZ29" s="62"/>
      <c r="CA29" s="62"/>
      <c r="CB29" s="62"/>
      <c r="CC29" s="62"/>
      <c r="CD29" s="62"/>
      <c r="CE29" s="62"/>
      <c r="CF29" s="62"/>
      <c r="CG29" s="62"/>
      <c r="CH29" s="62"/>
      <c r="CI29" s="62"/>
      <c r="CJ29" s="62"/>
      <c r="CK29" s="62"/>
      <c r="CL29" s="62"/>
      <c r="CM29" s="62"/>
      <c r="CN29" s="62"/>
      <c r="CO29" s="62"/>
      <c r="CP29" s="62"/>
      <c r="CQ29" s="62"/>
      <c r="CR29" s="62"/>
      <c r="CS29" s="62"/>
      <c r="CT29" s="62"/>
      <c r="CU29" s="62"/>
      <c r="CV29" s="62"/>
      <c r="CW29" s="62"/>
      <c r="CX29" s="62"/>
      <c r="CY29" s="62"/>
      <c r="CZ29" s="62"/>
      <c r="DA29" s="62"/>
      <c r="DB29" s="62"/>
      <c r="DC29" s="62"/>
      <c r="DD29" s="62"/>
      <c r="DE29" s="62"/>
      <c r="DF29" s="62"/>
      <c r="DG29" s="62"/>
      <c r="DH29" s="62"/>
      <c r="DI29" s="62"/>
      <c r="DJ29" s="62"/>
      <c r="DK29" s="62"/>
      <c r="DL29" s="62"/>
      <c r="DM29" s="62"/>
      <c r="DN29" s="62"/>
      <c r="DO29" s="62"/>
      <c r="DP29" s="62"/>
      <c r="DQ29" s="62"/>
    </row>
    <row r="30" spans="1:141" s="10" customFormat="1" x14ac:dyDescent="0.25">
      <c r="A30" s="43" t="str">
        <f t="shared" si="1"/>
        <v>Vesta-SE 9mm-1827GB</v>
      </c>
      <c r="B30" s="43"/>
      <c r="C30" s="26"/>
      <c r="D30" s="160" t="s">
        <v>160</v>
      </c>
      <c r="E30" s="155" t="str">
        <f>IFERROR(INDEX(Master_Table[],MATCH(A30,Master_Table[PF+CCT+Tech],0),9),"-")</f>
        <v>BXRV-DR-1827G-1000-B-13-SE</v>
      </c>
      <c r="F30" s="155" t="s">
        <v>63</v>
      </c>
      <c r="G30" s="155">
        <f>IFERROR(IF(AND(((Simulator!N$14)&lt;=P30),(N$14&gt;=N30)),MROUND(Calculations!AN16,50),"-"),"-")</f>
        <v>2600</v>
      </c>
      <c r="H30" s="155">
        <f>IF(AND(((Simulator!N$14)&lt;=P30),(N$14&gt;=0),(P30&lt;9E+307)),N$14,"-")</f>
        <v>250</v>
      </c>
      <c r="I30" s="156">
        <f>IF(AND(((Simulator!N$14)&lt;=P30),(N$14&gt;=0),(P30&lt;9E+307)),Calculations!Y16,"-")</f>
        <v>32.804597391012635</v>
      </c>
      <c r="J30" s="156">
        <f>IF(AND(((Simulator!N$14)&lt;=P30),(N$14&gt;=0),(P30&lt;9E+307)),(Simulator!H30*Simulator!I30/1000),"-")</f>
        <v>8.2011493477531587</v>
      </c>
      <c r="K30" s="155">
        <f>IF(AND(((Simulator!N$14)&lt;=P30),(N$14&gt;=0),(P30&lt;9E+307)),(Calculations!O16),"-")</f>
        <v>793.55960790918868</v>
      </c>
      <c r="L30" s="155">
        <f>IF(AND(((Simulator!N$14)&lt;=P30),(N$14&gt;=0),(P30&lt;9E+307)),(K30/J30),"-")</f>
        <v>96.761999356419182</v>
      </c>
      <c r="M30" s="155">
        <f>IF(AND(((Simulator!N$14)&lt;=P30),(N$14&gt;=0),(P30&lt;9E+307)),(0.9*K30),"-")</f>
        <v>714.20364711826983</v>
      </c>
      <c r="N30" s="155">
        <f>IFERROR(INDEX(Master_Table[],MATCH($A30,Master_Table[PF+CCT+Tech],0),COLUMN(Master_Table[MinCurrent])),"-")</f>
        <v>14</v>
      </c>
      <c r="O30" s="155">
        <f>IFERROR(INDEX(Master_Table[],MATCH(A30,Master_Table[PF+CCT+Tech],0),COLUMN(Master_Table[Typical Current])),"-")</f>
        <v>350</v>
      </c>
      <c r="P30" s="161">
        <f>IFERROR(INDEX(Master_Table[],MATCH($A30,Master_Table[PF+CCT+Tech],0),COLUMN(Master_Table[Max Current])),"-")</f>
        <v>420</v>
      </c>
      <c r="Q30" s="161"/>
      <c r="R30" s="56"/>
      <c r="S30" s="57"/>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9"/>
      <c r="CU30" s="9"/>
      <c r="CV30" s="9"/>
      <c r="CW30" s="9"/>
      <c r="CX30" s="9"/>
      <c r="CY30" s="9"/>
      <c r="CZ30" s="9"/>
      <c r="DA30" s="9"/>
      <c r="DB30" s="9"/>
      <c r="DC30" s="9"/>
      <c r="DD30" s="9"/>
      <c r="DE30" s="9"/>
      <c r="DF30" s="9"/>
      <c r="DG30" s="9"/>
      <c r="DH30" s="9"/>
      <c r="DI30" s="9"/>
      <c r="DJ30" s="9"/>
      <c r="DK30" s="9"/>
      <c r="DL30" s="9"/>
      <c r="DM30" s="9"/>
      <c r="DN30" s="9"/>
      <c r="DO30" s="9"/>
      <c r="DP30" s="9"/>
      <c r="DQ30" s="9"/>
      <c r="DU30" s="11"/>
      <c r="DV30" s="11"/>
      <c r="DW30" s="11"/>
      <c r="DX30" s="11"/>
      <c r="DY30" s="11"/>
      <c r="DZ30" s="11"/>
      <c r="EA30" s="11"/>
      <c r="EB30" s="11"/>
      <c r="EC30" s="11"/>
      <c r="ED30" s="11"/>
      <c r="EE30" s="11"/>
      <c r="EF30" s="11"/>
      <c r="EG30" s="11"/>
      <c r="EH30" s="11"/>
      <c r="EI30" s="11"/>
      <c r="EJ30" s="11"/>
      <c r="EK30" s="11"/>
    </row>
    <row r="31" spans="1:141" s="10" customFormat="1" x14ac:dyDescent="0.25">
      <c r="A31" s="43" t="str">
        <f t="shared" si="1"/>
        <v>Vesta-SE 13mm-1827GA</v>
      </c>
      <c r="B31" s="43"/>
      <c r="C31" s="26"/>
      <c r="D31" s="158" t="s">
        <v>161</v>
      </c>
      <c r="E31" s="153" t="str">
        <f>IFERROR(INDEX(Master_Table[],MATCH(A31,Master_Table[PF+CCT+Tech],0),9),"-")</f>
        <v>BXRV-DR-1827G-2000-A-13-SE</v>
      </c>
      <c r="F31" s="153" t="s">
        <v>15</v>
      </c>
      <c r="G31" s="153">
        <f>IFERROR(IF(AND(((Simulator!N$14)&lt;=P31),(N$14&gt;=N31)),MROUND(Calculations!AN17,50),"-"),"-")</f>
        <v>2450</v>
      </c>
      <c r="H31" s="153">
        <f>IF(AND(((Simulator!N$14)&lt;=P31),(N$14&gt;=0),(P31&lt;9E+307)),N$14,"-")</f>
        <v>250</v>
      </c>
      <c r="I31" s="154">
        <f>IF(AND(((Simulator!N$14)&lt;=P31),(N$14&gt;=0)),Calculations!Y17,"-")</f>
        <v>31.639700980301722</v>
      </c>
      <c r="J31" s="154">
        <f>IF(AND(((Simulator!N$14)&lt;=P31),(N$14&gt;=0),(P31&lt;9E+307)),(Simulator!H31*Simulator!I31/1000),"-")</f>
        <v>7.9099252450754305</v>
      </c>
      <c r="K31" s="153">
        <f>IF(AND(((Simulator!N$14)&lt;=P31),(N$14&gt;=0),(P31&lt;9E+307)),(Calculations!O17),"-")</f>
        <v>758.08837306822954</v>
      </c>
      <c r="L31" s="153">
        <f>IF(AND(((Simulator!N$14)&lt;=P31),(N$14&gt;=0),(P31&lt;9E+307)),(K31/J31),"-")</f>
        <v>95.840143816808009</v>
      </c>
      <c r="M31" s="153">
        <f>IF(AND(((Simulator!N$14)&lt;=P31),(N$14&gt;=0),(P31&lt;9E+307)),(0.9*K31),"-")</f>
        <v>682.27953576140658</v>
      </c>
      <c r="N31" s="153">
        <f>IFERROR(INDEX(Master_Table[],MATCH($A31,Master_Table[PF+CCT+Tech],0),COLUMN(Master_Table[MinCurrent])),"-")</f>
        <v>20</v>
      </c>
      <c r="O31" s="153">
        <f>IFERROR(INDEX(Master_Table[],MATCH(A31,Master_Table[PF+CCT+Tech],0),COLUMN(Master_Table[Typical Current])),"-")</f>
        <v>600</v>
      </c>
      <c r="P31" s="159">
        <f>IFERROR(INDEX(Master_Table[],MATCH($A31,Master_Table[PF+CCT+Tech],0),COLUMN(Master_Table[Max Current])),"-")</f>
        <v>720</v>
      </c>
      <c r="Q31" s="159"/>
      <c r="R31" s="56"/>
      <c r="S31" s="57"/>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c r="BW31" s="9"/>
      <c r="BX31" s="9"/>
      <c r="BY31" s="9"/>
      <c r="BZ31" s="9"/>
      <c r="CA31" s="9"/>
      <c r="CB31" s="9"/>
      <c r="CC31" s="9"/>
      <c r="CD31" s="9"/>
      <c r="CE31" s="9"/>
      <c r="CF31" s="9"/>
      <c r="CG31" s="9"/>
      <c r="CH31" s="9"/>
      <c r="CI31" s="9"/>
      <c r="CJ31" s="9"/>
      <c r="CK31" s="9"/>
      <c r="CL31" s="9"/>
      <c r="CM31" s="9"/>
      <c r="CN31" s="9"/>
      <c r="CO31" s="9"/>
      <c r="CP31" s="9"/>
      <c r="CQ31" s="9"/>
      <c r="CR31" s="9"/>
      <c r="CS31" s="9"/>
      <c r="CT31" s="9"/>
      <c r="CU31" s="9"/>
      <c r="CV31" s="9"/>
      <c r="CW31" s="9"/>
      <c r="CX31" s="9"/>
      <c r="CY31" s="9"/>
      <c r="CZ31" s="9"/>
      <c r="DA31" s="9"/>
      <c r="DB31" s="9"/>
      <c r="DC31" s="9"/>
      <c r="DD31" s="9"/>
      <c r="DE31" s="9"/>
      <c r="DF31" s="9"/>
      <c r="DG31" s="9"/>
      <c r="DH31" s="9"/>
      <c r="DI31" s="9"/>
      <c r="DJ31" s="9"/>
      <c r="DK31" s="9"/>
      <c r="DL31" s="9"/>
      <c r="DM31" s="9"/>
      <c r="DN31" s="9"/>
      <c r="DO31" s="9"/>
      <c r="DP31" s="9"/>
      <c r="DQ31" s="9"/>
      <c r="DU31" s="11"/>
      <c r="DV31" s="11"/>
      <c r="DW31" s="11"/>
      <c r="DX31" s="11"/>
      <c r="DY31" s="11"/>
      <c r="DZ31" s="11"/>
      <c r="EA31" s="11"/>
      <c r="EB31" s="11"/>
      <c r="EC31" s="11"/>
      <c r="ED31" s="11"/>
      <c r="EE31" s="11"/>
      <c r="EF31" s="11"/>
      <c r="EG31" s="11"/>
      <c r="EH31" s="11"/>
      <c r="EI31" s="11"/>
      <c r="EJ31" s="11"/>
      <c r="EK31" s="11"/>
    </row>
    <row r="32" spans="1:141" s="68" customFormat="1" ht="15" x14ac:dyDescent="0.2">
      <c r="A32" s="43" t="str">
        <f t="shared" si="1"/>
        <v>Vesta-SE 15mm-1827GA</v>
      </c>
      <c r="B32" s="43"/>
      <c r="C32" s="64"/>
      <c r="D32" s="160" t="s">
        <v>162</v>
      </c>
      <c r="E32" s="155" t="str">
        <f>IFERROR(INDEX(Master_Table[],MATCH(A32,Master_Table[PF+CCT+Tech],0),9),"-")</f>
        <v>BXRV-DR-1827G-3000-A-13-SE</v>
      </c>
      <c r="F32" s="155" t="s">
        <v>15</v>
      </c>
      <c r="G32" s="155">
        <f>IFERROR(IF(AND(((Simulator!N$14)&lt;=P32),(N$14&gt;=N32)),MROUND(Calculations!AN18,50),"-"),"-")</f>
        <v>2150</v>
      </c>
      <c r="H32" s="155">
        <f>IF(AND(((Simulator!N$14)&lt;=P32),(N$14&gt;=0),(P32&lt;9E+307)),N$14,"-")</f>
        <v>250</v>
      </c>
      <c r="I32" s="156">
        <f>IF(AND(((Simulator!N$14)&lt;=P32),(N$14&gt;=0)),Calculations!Y18,"-")</f>
        <v>31.276215437338202</v>
      </c>
      <c r="J32" s="156">
        <f>IF(AND(((Simulator!N$14)&lt;=P32),(N$14&gt;=0),(P32&lt;9E+307)),(Simulator!H32*Simulator!I32/1000),"-")</f>
        <v>7.8190538593345504</v>
      </c>
      <c r="K32" s="155">
        <f>IF(AND(((Simulator!N$14)&lt;=P32),(N$14&gt;=0),(P32&lt;9E+307)),(Calculations!O18),"-")</f>
        <v>711.64956184519531</v>
      </c>
      <c r="L32" s="155">
        <f>IF(AND(((Simulator!N$14)&lt;=P32),(N$14&gt;=0),(P32&lt;9E+307)),(K32/J32),"-")</f>
        <v>91.014792153607331</v>
      </c>
      <c r="M32" s="155">
        <f>IF(AND(((Simulator!N$14)&lt;=P32),(N$14&gt;=0),(P32&lt;9E+307)),(0.9*K32),"-")</f>
        <v>640.48460566067581</v>
      </c>
      <c r="N32" s="155">
        <f>IFERROR(INDEX(Master_Table[],MATCH($A32,Master_Table[PF+CCT+Tech],0),COLUMN(Master_Table[MinCurrent])),"-")</f>
        <v>20</v>
      </c>
      <c r="O32" s="155">
        <f>IFERROR(INDEX(Master_Table[],MATCH(A32,Master_Table[PF+CCT+Tech],0),COLUMN(Master_Table[Typical Current])),"-")</f>
        <v>950</v>
      </c>
      <c r="P32" s="161">
        <f>IFERROR(INDEX(Master_Table[],MATCH($A32,Master_Table[PF+CCT+Tech],0),COLUMN(Master_Table[Max Current])),"-")</f>
        <v>1050</v>
      </c>
      <c r="Q32" s="165"/>
      <c r="R32" s="65"/>
      <c r="S32" s="66"/>
      <c r="T32" s="67"/>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c r="AT32" s="67"/>
      <c r="AU32" s="67"/>
      <c r="AV32" s="67"/>
      <c r="AW32" s="67"/>
      <c r="AX32" s="67"/>
      <c r="AY32" s="67"/>
      <c r="AZ32" s="67"/>
      <c r="BA32" s="67"/>
      <c r="BB32" s="67"/>
      <c r="BC32" s="67"/>
      <c r="BD32" s="67"/>
      <c r="BE32" s="67"/>
      <c r="BF32" s="67"/>
      <c r="BG32" s="67"/>
      <c r="BH32" s="67"/>
      <c r="BI32" s="67"/>
      <c r="BJ32" s="67"/>
      <c r="BK32" s="67"/>
      <c r="BL32" s="67"/>
      <c r="BM32" s="67"/>
      <c r="BN32" s="67"/>
      <c r="BO32" s="67"/>
      <c r="BP32" s="67"/>
      <c r="BQ32" s="67"/>
      <c r="BR32" s="67"/>
      <c r="BS32" s="67"/>
      <c r="BT32" s="67"/>
      <c r="BU32" s="67"/>
      <c r="BV32" s="67"/>
      <c r="BW32" s="67"/>
      <c r="BX32" s="67"/>
      <c r="BY32" s="67"/>
      <c r="BZ32" s="67"/>
      <c r="CA32" s="67"/>
      <c r="CB32" s="67"/>
      <c r="CC32" s="67"/>
      <c r="CD32" s="67"/>
      <c r="CE32" s="67"/>
      <c r="CF32" s="67"/>
      <c r="CG32" s="67"/>
      <c r="CH32" s="67"/>
      <c r="CI32" s="67"/>
      <c r="CJ32" s="67"/>
      <c r="CK32" s="67"/>
      <c r="CL32" s="67"/>
      <c r="CM32" s="67"/>
      <c r="CN32" s="67"/>
      <c r="CO32" s="67"/>
      <c r="CP32" s="67"/>
      <c r="CQ32" s="67"/>
      <c r="CR32" s="67"/>
      <c r="CS32" s="67"/>
      <c r="CT32" s="67"/>
      <c r="CU32" s="67"/>
      <c r="CV32" s="67"/>
      <c r="CW32" s="67"/>
      <c r="CX32" s="67"/>
      <c r="CY32" s="67"/>
      <c r="CZ32" s="67"/>
      <c r="DA32" s="67"/>
      <c r="DB32" s="67"/>
      <c r="DC32" s="67"/>
      <c r="DD32" s="67"/>
      <c r="DE32" s="67"/>
      <c r="DF32" s="67"/>
      <c r="DG32" s="67"/>
      <c r="DH32" s="67"/>
      <c r="DI32" s="67"/>
      <c r="DJ32" s="67"/>
      <c r="DK32" s="67"/>
      <c r="DL32" s="67"/>
      <c r="DM32" s="67"/>
      <c r="DN32" s="67"/>
      <c r="DO32" s="67"/>
      <c r="DP32" s="67"/>
      <c r="DQ32" s="67"/>
    </row>
    <row r="33" spans="1:121" s="68" customFormat="1" ht="15" x14ac:dyDescent="0.2">
      <c r="A33" s="43" t="str">
        <f t="shared" si="1"/>
        <v>Vesta-SE 18mm-1827GA</v>
      </c>
      <c r="B33" s="43"/>
      <c r="C33" s="64"/>
      <c r="D33" s="158" t="s">
        <v>163</v>
      </c>
      <c r="E33" s="153" t="str">
        <f>IFERROR(INDEX(Master_Table[],MATCH(A33,Master_Table[PF+CCT+Tech],0),9),"-")</f>
        <v>BXRV-DR-1827G-4000-A-13-SE</v>
      </c>
      <c r="F33" s="153" t="s">
        <v>15</v>
      </c>
      <c r="G33" s="153">
        <f>IFERROR(IF(AND(((Simulator!N$14)&lt;=P33),(N$14&gt;=N33)),MROUND(Calculations!AN19,50),"-"),"-")</f>
        <v>2100</v>
      </c>
      <c r="H33" s="153">
        <f>IF(AND(((Simulator!N$14)&lt;=P33),(N$14&gt;=0),(P33&lt;9E+307)),N$14,"-")</f>
        <v>250</v>
      </c>
      <c r="I33" s="154">
        <f>IF(AND(((Simulator!N$14)&lt;=P33),(N$14&gt;=0),(P33&lt;9E+307)),Calculations!Y19,"-")</f>
        <v>31.336569797961005</v>
      </c>
      <c r="J33" s="154">
        <f>IF(AND(((Simulator!N$14)&lt;=P33),(N$14&gt;=0),(P33&lt;9E+307)),(Simulator!H33*Simulator!I33/1000),"-")</f>
        <v>7.8341424494902512</v>
      </c>
      <c r="K33" s="153">
        <f>IF(AND(((Simulator!N$14)&lt;=P33),(N$14&gt;=0),(P33&lt;9E+307)),(Calculations!O19),"-")</f>
        <v>779.28450737111405</v>
      </c>
      <c r="L33" s="153">
        <f>IF(AND(((Simulator!N$14)&lt;=P33),(N$14&gt;=0),(P33&lt;9E+307)),(K33/J33),"-")</f>
        <v>99.472853907809679</v>
      </c>
      <c r="M33" s="153">
        <f>IF(AND(((Simulator!N$14)&lt;=P33),(N$14&gt;=0),(P33&lt;9E+307)),(0.9*K33),"-")</f>
        <v>701.3560566340027</v>
      </c>
      <c r="N33" s="153">
        <f>IFERROR(INDEX(Master_Table[],MATCH($A33,Master_Table[PF+CCT+Tech],0),COLUMN(Master_Table[MinCurrent])),"-")</f>
        <v>20</v>
      </c>
      <c r="O33" s="153">
        <f>IFERROR(INDEX(Master_Table[],MATCH(A33,Master_Table[PF+CCT+Tech],0),COLUMN(Master_Table[Typical Current])),"-")</f>
        <v>1290</v>
      </c>
      <c r="P33" s="159">
        <f>IFERROR(INDEX(Master_Table[],MATCH($A33,Master_Table[PF+CCT+Tech],0),COLUMN(Master_Table[Max Current])),"-")</f>
        <v>1400</v>
      </c>
      <c r="Q33" s="155"/>
      <c r="R33" s="65"/>
      <c r="S33" s="66"/>
      <c r="T33" s="67"/>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c r="AT33" s="67"/>
      <c r="AU33" s="67"/>
      <c r="AV33" s="67"/>
      <c r="AW33" s="67"/>
      <c r="AX33" s="67"/>
      <c r="AY33" s="67"/>
      <c r="AZ33" s="67"/>
      <c r="BA33" s="67"/>
      <c r="BB33" s="67"/>
      <c r="BC33" s="67"/>
      <c r="BD33" s="67"/>
      <c r="BE33" s="67"/>
      <c r="BF33" s="67"/>
      <c r="BG33" s="67"/>
      <c r="BH33" s="67"/>
      <c r="BI33" s="67"/>
      <c r="BJ33" s="67"/>
      <c r="BK33" s="67"/>
      <c r="BL33" s="67"/>
      <c r="BM33" s="67"/>
      <c r="BN33" s="67"/>
      <c r="BO33" s="67"/>
      <c r="BP33" s="67"/>
      <c r="BQ33" s="67"/>
      <c r="BR33" s="67"/>
      <c r="BS33" s="67"/>
      <c r="BT33" s="67"/>
      <c r="BU33" s="67"/>
      <c r="BV33" s="67"/>
      <c r="BW33" s="67"/>
      <c r="BX33" s="67"/>
      <c r="BY33" s="67"/>
      <c r="BZ33" s="67"/>
      <c r="CA33" s="67"/>
      <c r="CB33" s="67"/>
      <c r="CC33" s="67"/>
      <c r="CD33" s="67"/>
      <c r="CE33" s="67"/>
      <c r="CF33" s="67"/>
      <c r="CG33" s="67"/>
      <c r="CH33" s="67"/>
      <c r="CI33" s="67"/>
      <c r="CJ33" s="67"/>
      <c r="CK33" s="67"/>
      <c r="CL33" s="67"/>
      <c r="CM33" s="67"/>
      <c r="CN33" s="67"/>
      <c r="CO33" s="67"/>
      <c r="CP33" s="67"/>
      <c r="CQ33" s="67"/>
      <c r="CR33" s="67"/>
      <c r="CS33" s="67"/>
      <c r="CT33" s="67"/>
      <c r="CU33" s="67"/>
      <c r="CV33" s="67"/>
      <c r="CW33" s="67"/>
      <c r="CX33" s="67"/>
      <c r="CY33" s="67"/>
      <c r="CZ33" s="67"/>
      <c r="DA33" s="67"/>
      <c r="DB33" s="67"/>
      <c r="DC33" s="67"/>
      <c r="DD33" s="67"/>
      <c r="DE33" s="67"/>
      <c r="DF33" s="67"/>
      <c r="DG33" s="67"/>
      <c r="DH33" s="67"/>
      <c r="DI33" s="67"/>
      <c r="DJ33" s="67"/>
      <c r="DK33" s="67"/>
      <c r="DL33" s="67"/>
      <c r="DM33" s="67"/>
      <c r="DN33" s="67"/>
      <c r="DO33" s="67"/>
      <c r="DP33" s="67"/>
      <c r="DQ33" s="67"/>
    </row>
    <row r="34" spans="1:121" s="68" customFormat="1" ht="15" x14ac:dyDescent="0.2">
      <c r="A34" s="43" t="str">
        <f t="shared" si="1"/>
        <v>Vesta-SE 29mm-1827GA</v>
      </c>
      <c r="B34" s="43"/>
      <c r="C34" s="64"/>
      <c r="D34" s="162" t="s">
        <v>164</v>
      </c>
      <c r="E34" s="163" t="str">
        <f>IFERROR(INDEX(Master_Table[],MATCH(A34,Master_Table[PF+CCT+Tech],0),9),"-")</f>
        <v>BXRV-DR-1827G-10K0-A-13-SE</v>
      </c>
      <c r="F34" s="163" t="s">
        <v>15</v>
      </c>
      <c r="G34" s="163">
        <f>IFERROR(IF(AND(((Simulator!N$14)&lt;=P34),(N$14&gt;=N34)),MROUND(Calculations!AN20,50),"-"),"-")</f>
        <v>1950</v>
      </c>
      <c r="H34" s="163">
        <f>IF(AND(((Simulator!N$14)&lt;=P34),(N$14&gt;=0),(P34&lt;9E+307)),N$14,"-")</f>
        <v>250</v>
      </c>
      <c r="I34" s="164">
        <f>IF(AND(((Simulator!N$14)&lt;=P34),(N$14&gt;=0),(P34&lt;9E+307)),Calculations!Y20,"-")</f>
        <v>40.888917046358728</v>
      </c>
      <c r="J34" s="164">
        <f>IF(AND(((Simulator!N$14)&lt;=P34),(N$14&gt;=0),(P34&lt;9E+307)),(Simulator!H34*Simulator!I34/1000),"-")</f>
        <v>10.222229261589682</v>
      </c>
      <c r="K34" s="163">
        <f>IF(AND(((Simulator!N$14)&lt;=P34),(N$14&gt;=0),(P34&lt;9E+307)),(Calculations!O20),"-")</f>
        <v>1096.830505294492</v>
      </c>
      <c r="L34" s="163">
        <f>IF(AND(((Simulator!N$14)&lt;=P34),(N$14&gt;=0),(P34&lt;9E+307)),(K34/J34),"-")</f>
        <v>107.2985624980907</v>
      </c>
      <c r="M34" s="163">
        <f>IF(AND(((Simulator!N$14)&lt;=P34),(N$14&gt;=0),(P34&lt;9E+307)),(0.9*K34),"-")</f>
        <v>987.14745476504288</v>
      </c>
      <c r="N34" s="163">
        <f>IFERROR(INDEX(Master_Table[],MATCH($A34,Master_Table[PF+CCT+Tech],0),COLUMN(Master_Table[MinCurrent])),"-")</f>
        <v>40</v>
      </c>
      <c r="O34" s="163">
        <f>IFERROR(INDEX(Master_Table[],MATCH(A34,Master_Table[PF+CCT+Tech],0),COLUMN(Master_Table[Typical Current])),"-")</f>
        <v>2350</v>
      </c>
      <c r="P34" s="165">
        <f>IFERROR(INDEX(Master_Table[],MATCH($A34,Master_Table[PF+CCT+Tech],0),COLUMN(Master_Table[Max Current])),"-")</f>
        <v>2500</v>
      </c>
      <c r="Q34" s="155"/>
      <c r="R34" s="65"/>
      <c r="S34" s="66"/>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7"/>
      <c r="BQ34" s="67"/>
      <c r="BR34" s="67"/>
      <c r="BS34" s="67"/>
      <c r="BT34" s="67"/>
      <c r="BU34" s="67"/>
      <c r="BV34" s="67"/>
      <c r="BW34" s="67"/>
      <c r="BX34" s="67"/>
      <c r="BY34" s="67"/>
      <c r="BZ34" s="67"/>
      <c r="CA34" s="67"/>
      <c r="CB34" s="67"/>
      <c r="CC34" s="67"/>
      <c r="CD34" s="67"/>
      <c r="CE34" s="67"/>
      <c r="CF34" s="67"/>
      <c r="CG34" s="67"/>
      <c r="CH34" s="67"/>
      <c r="CI34" s="67"/>
      <c r="CJ34" s="67"/>
      <c r="CK34" s="67"/>
      <c r="CL34" s="67"/>
      <c r="CM34" s="67"/>
      <c r="CN34" s="67"/>
      <c r="CO34" s="67"/>
      <c r="CP34" s="67"/>
      <c r="CQ34" s="67"/>
      <c r="CR34" s="67"/>
      <c r="CS34" s="67"/>
      <c r="CT34" s="67"/>
      <c r="CU34" s="67"/>
      <c r="CV34" s="67"/>
      <c r="CW34" s="67"/>
      <c r="CX34" s="67"/>
      <c r="CY34" s="67"/>
      <c r="CZ34" s="67"/>
      <c r="DA34" s="67"/>
      <c r="DB34" s="67"/>
      <c r="DC34" s="67"/>
      <c r="DD34" s="67"/>
      <c r="DE34" s="67"/>
      <c r="DF34" s="67"/>
      <c r="DG34" s="67"/>
      <c r="DH34" s="67"/>
      <c r="DI34" s="67"/>
      <c r="DJ34" s="67"/>
      <c r="DK34" s="67"/>
      <c r="DL34" s="67"/>
      <c r="DM34" s="67"/>
      <c r="DN34" s="67"/>
      <c r="DO34" s="67"/>
      <c r="DP34" s="67"/>
      <c r="DQ34" s="67"/>
    </row>
    <row r="35" spans="1:121" s="63" customFormat="1" ht="15" x14ac:dyDescent="0.2">
      <c r="A35" s="43"/>
      <c r="B35" s="43"/>
      <c r="C35" s="59"/>
      <c r="D35" s="69"/>
      <c r="E35" s="70"/>
      <c r="F35" s="70"/>
      <c r="G35" s="58"/>
      <c r="H35" s="70"/>
      <c r="I35" s="70"/>
      <c r="J35" s="70"/>
      <c r="K35" s="70"/>
      <c r="L35" s="71"/>
      <c r="M35" s="71"/>
      <c r="N35" s="70"/>
      <c r="O35" s="70"/>
      <c r="P35" s="70"/>
      <c r="Q35" s="71"/>
      <c r="R35" s="60"/>
      <c r="S35" s="61"/>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c r="BM35" s="62"/>
      <c r="BN35" s="62"/>
      <c r="BO35" s="62"/>
      <c r="BP35" s="62"/>
      <c r="BQ35" s="62"/>
      <c r="BR35" s="62"/>
      <c r="BS35" s="62"/>
      <c r="BT35" s="62"/>
      <c r="BU35" s="62"/>
      <c r="BV35" s="62"/>
      <c r="BW35" s="62"/>
      <c r="BX35" s="62"/>
      <c r="BY35" s="62"/>
      <c r="BZ35" s="62"/>
      <c r="CA35" s="62"/>
      <c r="CB35" s="62"/>
      <c r="CC35" s="62"/>
      <c r="CD35" s="62"/>
      <c r="CE35" s="62"/>
      <c r="CF35" s="62"/>
      <c r="CG35" s="62"/>
      <c r="CH35" s="62"/>
      <c r="CI35" s="62"/>
      <c r="CJ35" s="62"/>
      <c r="CK35" s="62"/>
      <c r="CL35" s="62"/>
      <c r="CM35" s="62"/>
      <c r="CN35" s="62"/>
      <c r="CO35" s="62"/>
      <c r="CP35" s="62"/>
      <c r="CQ35" s="62"/>
      <c r="CR35" s="62"/>
      <c r="CS35" s="62"/>
      <c r="CT35" s="62"/>
      <c r="CU35" s="62"/>
      <c r="CV35" s="62"/>
      <c r="CW35" s="62"/>
      <c r="CX35" s="62"/>
      <c r="CY35" s="62"/>
      <c r="CZ35" s="62"/>
      <c r="DA35" s="62"/>
      <c r="DB35" s="62"/>
      <c r="DC35" s="62"/>
      <c r="DD35" s="62"/>
      <c r="DE35" s="62"/>
      <c r="DF35" s="62"/>
      <c r="DG35" s="62"/>
      <c r="DH35" s="62"/>
      <c r="DI35" s="62"/>
      <c r="DJ35" s="62"/>
      <c r="DK35" s="62"/>
      <c r="DL35" s="62"/>
      <c r="DM35" s="62"/>
      <c r="DN35" s="62"/>
      <c r="DO35" s="62"/>
      <c r="DP35" s="62"/>
      <c r="DQ35" s="62"/>
    </row>
    <row r="37" spans="1:121" ht="18" x14ac:dyDescent="0.25">
      <c r="C37" s="21"/>
      <c r="D37" s="47" t="s">
        <v>129</v>
      </c>
      <c r="E37" s="48"/>
      <c r="F37" s="23"/>
      <c r="G37" s="25"/>
      <c r="H37" s="23"/>
      <c r="I37" s="23"/>
      <c r="J37" s="23"/>
      <c r="K37" s="23"/>
      <c r="L37" s="25"/>
      <c r="M37" s="23"/>
      <c r="N37" s="25" t="s">
        <v>84</v>
      </c>
      <c r="O37" s="25"/>
      <c r="P37" s="25"/>
      <c r="Q37" s="25"/>
      <c r="R37" s="49"/>
    </row>
    <row r="38" spans="1:121" x14ac:dyDescent="0.25">
      <c r="C38" s="26"/>
      <c r="D38" s="28" t="s">
        <v>12</v>
      </c>
      <c r="E38" s="28"/>
      <c r="F38" s="28"/>
      <c r="G38" s="32"/>
      <c r="H38" s="28"/>
      <c r="I38" s="28"/>
      <c r="J38" s="28"/>
      <c r="K38" s="28"/>
      <c r="L38" s="32"/>
      <c r="M38" s="32" t="s">
        <v>144</v>
      </c>
      <c r="N38" s="50">
        <v>2700</v>
      </c>
      <c r="O38" s="32"/>
      <c r="P38" s="32"/>
      <c r="Q38" s="32"/>
      <c r="R38" s="30"/>
    </row>
    <row r="39" spans="1:121" ht="18" x14ac:dyDescent="0.25">
      <c r="C39" s="26"/>
      <c r="D39" s="52" t="s">
        <v>165</v>
      </c>
      <c r="E39" s="28"/>
      <c r="F39" s="28"/>
      <c r="G39" s="32"/>
      <c r="H39" s="29"/>
      <c r="I39" s="29"/>
      <c r="J39" s="29"/>
      <c r="K39" s="29"/>
      <c r="L39" s="32"/>
      <c r="M39" s="32"/>
      <c r="N39" s="32"/>
      <c r="O39" s="32"/>
      <c r="P39" s="53"/>
      <c r="Q39" s="53"/>
      <c r="R39" s="30"/>
    </row>
    <row r="40" spans="1:121" ht="63.75" x14ac:dyDescent="0.25">
      <c r="C40" s="26"/>
      <c r="D40" s="241" t="s">
        <v>47</v>
      </c>
      <c r="E40" s="242" t="s">
        <v>6</v>
      </c>
      <c r="F40" s="242" t="s">
        <v>13</v>
      </c>
      <c r="G40" s="242" t="s">
        <v>2</v>
      </c>
      <c r="H40" s="242" t="s">
        <v>111</v>
      </c>
      <c r="I40" s="242" t="s">
        <v>107</v>
      </c>
      <c r="J40" s="242" t="s">
        <v>108</v>
      </c>
      <c r="K40" s="242" t="str">
        <f>"Lumen DC @ 
"&amp;$D$10&amp;" = "&amp;$I$8&amp;"°C"</f>
        <v>Lumen DC @ 
Case = 25°C</v>
      </c>
      <c r="L40" s="242" t="str">
        <f>"Efficacy DC @ 
"&amp;$D$10&amp;" = "&amp;$I$8&amp;"°C"</f>
        <v>Efficacy DC @ 
Case = 25°C</v>
      </c>
      <c r="M40" s="242" t="str">
        <f>"Min. Lumen DC @ 
"&amp;$D$10&amp;" = "&amp;$I$8&amp;"°C"</f>
        <v>Min. Lumen DC @ 
Case = 25°C</v>
      </c>
      <c r="N40" s="157" t="s">
        <v>153</v>
      </c>
      <c r="O40" s="242" t="s">
        <v>109</v>
      </c>
      <c r="P40" s="243" t="s">
        <v>14</v>
      </c>
      <c r="Q40" s="243"/>
      <c r="R40" s="30"/>
    </row>
    <row r="41" spans="1:121" x14ac:dyDescent="0.25">
      <c r="A41" s="43" t="str">
        <f t="shared" ref="A41:A48" si="2">D41&amp;C41&amp;"-"&amp;L$6&amp;F41</f>
        <v>6mm-1827GA</v>
      </c>
      <c r="C41" s="59"/>
      <c r="D41" s="244" t="s">
        <v>46</v>
      </c>
      <c r="E41" s="245" t="str">
        <f>IFERROR(INDEX(Master_Table[],MATCH(A41,Master_Table[PF+CCT+Tech],0),9),"-")</f>
        <v>BXRV-DR-1827G-0600-A-13</v>
      </c>
      <c r="F41" s="245" t="s">
        <v>15</v>
      </c>
      <c r="G41" s="245">
        <f>IFERROR(IF(AND(((Calculations!O24)&lt;=P41),(Calculations!O24&gt;=N41)),N$38,"-"),"-")</f>
        <v>2700</v>
      </c>
      <c r="H41" s="245">
        <f>IFERROR(IF(AND(((Calculations!O24)&lt;=P41),(Calculations!O24&gt;=N41)),IF(N38=1800,N41,Calculations!O24),"-"),"-")</f>
        <v>350</v>
      </c>
      <c r="I41" s="262">
        <f>IFERROR(IF(AND(((Calculations!O24)&lt;=P41),(Calculations!O24&gt;=N41)),Calculations!X24,"-"),"-")</f>
        <v>17.000000000000007</v>
      </c>
      <c r="J41" s="262">
        <f>IFERROR(IF(AND(((Calculations!O24)&lt;=P41),(Calculations!O24&gt;=N41)),I41*H41/1000,"-"),"-")</f>
        <v>5.9500000000000028</v>
      </c>
      <c r="K41" s="245">
        <f>IFERROR(IF(AND(((Calculations!O24)&lt;=P41),(Calculations!O24&gt;=N41)),Calculations!AF24,"-"),"-")</f>
        <v>626.99797016462162</v>
      </c>
      <c r="L41" s="245">
        <f>IFERROR(IF(AND(((Calculations!O24)&lt;=P41),(Calculations!O24&gt;=N41)),K41/J41,"-"),"-")</f>
        <v>105.37781011170107</v>
      </c>
      <c r="M41" s="245">
        <f>IFERROR(IF(AND(((Calculations!O24)&lt;=P41),(Calculations!O24&gt;=N41)),K41*0.9,"-"),"-")</f>
        <v>564.29817314815944</v>
      </c>
      <c r="N41" s="245">
        <f>IFERROR(INDEX(Master_Table[],MATCH($A41,Master_Table[PF+CCT+Tech],0),COLUMN(Master_Table[MinCurrent])),"-")</f>
        <v>14</v>
      </c>
      <c r="O41" s="245">
        <f>IFERROR(INDEX(Master_Table[],MATCH($A41,Master_Table[PF+CCT+Tech],0),COLUMN(Master_Table[Typical Current])),"-")</f>
        <v>350</v>
      </c>
      <c r="P41" s="246">
        <f>IFERROR(INDEX(Master_Table[],MATCH($A41,Master_Table[PF+CCT+Tech],0),COLUMN(Master_Table[Max Current])),"-")</f>
        <v>420</v>
      </c>
      <c r="Q41" s="246"/>
      <c r="R41" s="60"/>
    </row>
    <row r="42" spans="1:121" x14ac:dyDescent="0.25">
      <c r="A42" s="43" t="str">
        <f t="shared" si="2"/>
        <v>9mm-1827GG</v>
      </c>
      <c r="C42" s="59"/>
      <c r="D42" s="160" t="s">
        <v>48</v>
      </c>
      <c r="E42" s="155" t="str">
        <f>IFERROR(INDEX(Master_Table[],MATCH(A42,Master_Table[PF+CCT+Tech],0),9),"-")</f>
        <v>BXRV-DR-1827G-1000-G-13</v>
      </c>
      <c r="F42" s="155" t="s">
        <v>97</v>
      </c>
      <c r="G42" s="155">
        <f>IFERROR(IF(AND(((Calculations!O25)&lt;=P42),(Calculations!O25&gt;=N42)),N$38,"-"),"-")</f>
        <v>2700</v>
      </c>
      <c r="H42" s="155">
        <f>IFERROR(IF(AND(((Calculations!O25)&lt;=P42),(Calculations!O25&gt;=N42)),IF(N38=1800,N42,Calculations!O25),"-"),"-")</f>
        <v>250</v>
      </c>
      <c r="I42" s="156">
        <f>IFERROR(IF(AND(((Calculations!O25)&lt;=P42),(Calculations!O25&gt;=N42)),Calculations!X25,"-"),"-")</f>
        <v>17.000000000000014</v>
      </c>
      <c r="J42" s="156">
        <f>IFERROR(IF(AND(((Calculations!O25)&lt;=P42),(Calculations!O25&gt;=N42)),I42*H42/1000,"-"),"-")</f>
        <v>4.2500000000000036</v>
      </c>
      <c r="K42" s="155">
        <f>IFERROR(IF(AND(((Calculations!O25)&lt;=P42),(Calculations!O25&gt;=N42)),Calculations!AF25,"-"),"-")</f>
        <v>438.01073716857144</v>
      </c>
      <c r="L42" s="155">
        <f>IFERROR(IF(AND(((Calculations!O25)&lt;=P42),(Calculations!O25&gt;=N42)),K42/J42,"-"),"-")</f>
        <v>103.06134992201672</v>
      </c>
      <c r="M42" s="155">
        <f>IFERROR(IF(AND(((Calculations!O25)&lt;=P42),(Calculations!O25&gt;=N42)),K42*0.9,"-"),"-")</f>
        <v>394.20966345171428</v>
      </c>
      <c r="N42" s="155">
        <f>IFERROR(INDEX(Master_Table[],MATCH($A42,Master_Table[PF+CCT+Tech],0),COLUMN(Master_Table[MinCurrent])),"-")</f>
        <v>14</v>
      </c>
      <c r="O42" s="155">
        <f>IFERROR(INDEX(Master_Table[],MATCH(A42,Master_Table[PF+CCT+Tech],0),COLUMN(Master_Table[Typical Current])),"-")</f>
        <v>250</v>
      </c>
      <c r="P42" s="161">
        <f>IFERROR(INDEX(Master_Table[],MATCH($A42,Master_Table[PF+CCT+Tech],0),COLUMN(Master_Table[Max Current])),"-")</f>
        <v>300</v>
      </c>
      <c r="Q42" s="161"/>
      <c r="R42" s="60"/>
    </row>
    <row r="43" spans="1:121" x14ac:dyDescent="0.25">
      <c r="A43" s="43" t="str">
        <f t="shared" si="2"/>
        <v>9mm-1827GA</v>
      </c>
      <c r="C43" s="59"/>
      <c r="D43" s="158" t="s">
        <v>48</v>
      </c>
      <c r="E43" s="153" t="str">
        <f>IFERROR(INDEX(Master_Table[],MATCH(A43,Master_Table[PF+CCT+Tech],0),9),"-")</f>
        <v>BXRV-DR-1827G-1000-A-13</v>
      </c>
      <c r="F43" s="153" t="s">
        <v>15</v>
      </c>
      <c r="G43" s="153">
        <f>IFERROR(IF(AND(((Calculations!O26)&lt;=P43),(Calculations!O26&gt;=N43)),N$38,"-"),"-")</f>
        <v>2700</v>
      </c>
      <c r="H43" s="153">
        <f>IFERROR(IF(AND(((Calculations!O26)&lt;=P43),(Calculations!O26&gt;=N43)),IF(N38=1800,N43,Calculations!O26),"-"),"-")</f>
        <v>350</v>
      </c>
      <c r="I43" s="154">
        <f>IFERROR(IF(AND(((Calculations!O26)&lt;=P43),(Calculations!O26&gt;=N43)),Calculations!X26,"-"),"-")</f>
        <v>17.000000000000007</v>
      </c>
      <c r="J43" s="154">
        <f>IFERROR(IF(AND(((Calculations!O26)&lt;=P43),(Calculations!O26&gt;=N43)),I43*H43/1000,"-"),"-")</f>
        <v>5.9500000000000028</v>
      </c>
      <c r="K43" s="153">
        <f>IFERROR(IF(AND(((Calculations!O26)&lt;=P43),(Calculations!O26&gt;=N43)),Calculations!AF26,"-"),"-")</f>
        <v>612.95235622230564</v>
      </c>
      <c r="L43" s="153">
        <f>IFERROR(IF(AND(((Calculations!O26)&lt;=P43),(Calculations!O26&gt;=N43)),K43/J43,"-"),"-")</f>
        <v>103.01720272643787</v>
      </c>
      <c r="M43" s="153">
        <f>IFERROR(IF(AND(((Calculations!O26)&lt;=P43),(Calculations!O26&gt;=N43)),K43*0.9,"-"),"-")</f>
        <v>551.65712060007513</v>
      </c>
      <c r="N43" s="153">
        <f>IFERROR(INDEX(Master_Table[],MATCH($A43,Master_Table[PF+CCT+Tech],0),COLUMN(Master_Table[MinCurrent])),"-")</f>
        <v>14</v>
      </c>
      <c r="O43" s="153">
        <f>IFERROR(INDEX(Master_Table[],MATCH(A43,Master_Table[PF+CCT+Tech],0),COLUMN(Master_Table[Typical Current])),"-")</f>
        <v>350</v>
      </c>
      <c r="P43" s="159">
        <f>IFERROR(INDEX(Master_Table[],MATCH($A43,Master_Table[PF+CCT+Tech],0),COLUMN(Master_Table[Max Current])),"-")</f>
        <v>420</v>
      </c>
      <c r="Q43" s="247"/>
      <c r="R43" s="60"/>
    </row>
    <row r="44" spans="1:121" x14ac:dyDescent="0.25">
      <c r="A44" s="43" t="str">
        <f t="shared" si="2"/>
        <v>9mm-1827GB</v>
      </c>
      <c r="C44" s="26"/>
      <c r="D44" s="160" t="s">
        <v>48</v>
      </c>
      <c r="E44" s="155" t="str">
        <f>IFERROR(INDEX(Master_Table[],MATCH(A44,Master_Table[PF+CCT+Tech],0),9),"-")</f>
        <v>BXRV-DR-1827G-1000-B-13</v>
      </c>
      <c r="F44" s="155" t="s">
        <v>63</v>
      </c>
      <c r="G44" s="155">
        <f>IFERROR(IF(AND(((Calculations!O27)&lt;=P44),(Calculations!O27&gt;=N44)),N$38,"-"),"-")</f>
        <v>2700</v>
      </c>
      <c r="H44" s="155">
        <f>IFERROR(IF(AND(((Calculations!O27)&lt;=P44),(Calculations!O27&gt;=N44)),IF(N38=1800,N44,Calculations!O27),"-"),"-")</f>
        <v>350</v>
      </c>
      <c r="I44" s="156">
        <f>IFERROR(IF(AND(((Calculations!O27)&lt;=P44),(Calculations!O27&gt;=N44)),Calculations!X27,"-"),"-")</f>
        <v>33.79999999999999</v>
      </c>
      <c r="J44" s="156">
        <f>IFERROR(IF(AND(((Calculations!O27)&lt;=P44),(Calculations!O27&gt;=N44)),I44*H44/1000,"-"),"-")</f>
        <v>11.829999999999997</v>
      </c>
      <c r="K44" s="155">
        <f>IFERROR(IF(AND(((Calculations!O27)&lt;=P44),(Calculations!O27&gt;=N44)),Calculations!AF27,"-"),"-")</f>
        <v>1241.6692708328028</v>
      </c>
      <c r="L44" s="155">
        <f>IFERROR(IF(AND(((Calculations!O27)&lt;=P44),(Calculations!O27&gt;=N44)),K44/J44,"-"),"-")</f>
        <v>104.95936355306874</v>
      </c>
      <c r="M44" s="155">
        <f>IFERROR(IF(AND(((Calculations!O27)&lt;=P44),(Calculations!O27&gt;=N44)),K44*0.9,"-"),"-")</f>
        <v>1117.5023437495227</v>
      </c>
      <c r="N44" s="155">
        <f>IFERROR(INDEX(Master_Table[],MATCH($A44,Master_Table[PF+CCT+Tech],0),COLUMN(Master_Table[MinCurrent])),"-")</f>
        <v>14</v>
      </c>
      <c r="O44" s="155">
        <f>IFERROR(INDEX(Master_Table[],MATCH(A44,Master_Table[PF+CCT+Tech],0),COLUMN(Master_Table[Typical Current])),"-")</f>
        <v>350</v>
      </c>
      <c r="P44" s="161">
        <f>IFERROR(INDEX(Master_Table[],MATCH($A44,Master_Table[PF+CCT+Tech],0),COLUMN(Master_Table[Max Current])),"-")</f>
        <v>420</v>
      </c>
      <c r="Q44" s="248"/>
      <c r="R44" s="56"/>
    </row>
    <row r="45" spans="1:121" x14ac:dyDescent="0.25">
      <c r="A45" s="43" t="str">
        <f t="shared" si="2"/>
        <v>13mm-1827GA</v>
      </c>
      <c r="C45" s="26"/>
      <c r="D45" s="158" t="s">
        <v>49</v>
      </c>
      <c r="E45" s="153" t="str">
        <f>IFERROR(INDEX(Master_Table[],MATCH(A45,Master_Table[PF+CCT+Tech],0),9),"-")</f>
        <v>BXRV-DR-1827G-2000-A-13</v>
      </c>
      <c r="F45" s="153" t="s">
        <v>15</v>
      </c>
      <c r="G45" s="153">
        <f>IFERROR(IF(AND(((Calculations!O28)&lt;=P45),(Calculations!O28&gt;=N45)),N$38,"-"),"-")</f>
        <v>2700</v>
      </c>
      <c r="H45" s="153">
        <f>IFERROR(IF(AND(((Calculations!O28)&lt;=P45),(Calculations!O28&gt;=N45)),IF(N38=1800,N45,Calculations!O28),"-"),"-")</f>
        <v>600</v>
      </c>
      <c r="I45" s="154">
        <f>IFERROR(IF(AND(((Calculations!O28)&lt;=P45),(Calculations!O28&gt;=N45)),Calculations!X28,"-"),"-")</f>
        <v>33.504541030295599</v>
      </c>
      <c r="J45" s="154">
        <f>IFERROR(IF(AND(((Calculations!O28)&lt;=P45),(Calculations!O28&gt;=N45)),I45*H45/1000,"-"),"-")</f>
        <v>20.102724618177358</v>
      </c>
      <c r="K45" s="153">
        <f>IFERROR(IF(AND(((Calculations!O28)&lt;=P45),(Calculations!O28&gt;=N45)),Calculations!AF28,"-"),"-")</f>
        <v>2111.2572123862465</v>
      </c>
      <c r="L45" s="153">
        <f>IFERROR(IF(AND(((Calculations!O28)&lt;=P45),(Calculations!O28&gt;=N45)),K45/J45,"-"),"-")</f>
        <v>105.02343600116761</v>
      </c>
      <c r="M45" s="153">
        <f>IFERROR(IF(AND(((Calculations!O28)&lt;=P45),(Calculations!O28&gt;=N45)),K45*0.9,"-"),"-")</f>
        <v>1900.1314911476218</v>
      </c>
      <c r="N45" s="153">
        <f>IFERROR(INDEX(Master_Table[],MATCH($A45,Master_Table[PF+CCT+Tech],0),COLUMN(Master_Table[MinCurrent])),"-")</f>
        <v>20</v>
      </c>
      <c r="O45" s="153">
        <f>IFERROR(INDEX(Master_Table[],MATCH(A45,Master_Table[PF+CCT+Tech],0),COLUMN(Master_Table[Typical Current])),"-")</f>
        <v>600</v>
      </c>
      <c r="P45" s="159">
        <f>IFERROR(INDEX(Master_Table[],MATCH($A45,Master_Table[PF+CCT+Tech],0),COLUMN(Master_Table[Max Current])),"-")</f>
        <v>720</v>
      </c>
      <c r="Q45" s="247"/>
      <c r="R45" s="56"/>
    </row>
    <row r="46" spans="1:121" x14ac:dyDescent="0.25">
      <c r="A46" s="43" t="str">
        <f t="shared" si="2"/>
        <v>15mm-1827GA</v>
      </c>
      <c r="C46" s="64"/>
      <c r="D46" s="160" t="s">
        <v>50</v>
      </c>
      <c r="E46" s="155" t="str">
        <f>IFERROR(INDEX(Master_Table[],MATCH(A46,Master_Table[PF+CCT+Tech],0),9),"-")</f>
        <v>BXRV-DR-1827G-3000-A-13</v>
      </c>
      <c r="F46" s="155" t="s">
        <v>15</v>
      </c>
      <c r="G46" s="155">
        <f>IFERROR(IF(AND(((Calculations!O29)&lt;=P46),(Calculations!O29&gt;=N46)),N$38,"-"),"-")</f>
        <v>2700</v>
      </c>
      <c r="H46" s="155">
        <f>IFERROR(IF(AND(((Calculations!O29)&lt;=P46),(Calculations!O29&gt;=N46)),IF(N38=1800,N46,Calculations!O29),"-"),"-")</f>
        <v>950</v>
      </c>
      <c r="I46" s="156">
        <f>IFERROR(IF(AND(((Calculations!O29)&lt;=P46),(Calculations!O29&gt;=N46)),Calculations!X29,"-"),"-")</f>
        <v>34.11102755967363</v>
      </c>
      <c r="J46" s="156">
        <f>IFERROR(IF(AND(((Calculations!O29)&lt;=P46),(Calculations!O29&gt;=N46)),I46*H46/1000,"-"),"-")</f>
        <v>32.405476181689949</v>
      </c>
      <c r="K46" s="155">
        <f>IFERROR(IF(AND(((Calculations!O29)&lt;=P46),(Calculations!O29&gt;=N46)),Calculations!AF29,"-"),"-")</f>
        <v>3401.178418995788</v>
      </c>
      <c r="L46" s="155">
        <f>IFERROR(IF(AND(((Calculations!O29)&lt;=P46),(Calculations!O29&gt;=N46)),K46/J46,"-"),"-")</f>
        <v>104.95690296066546</v>
      </c>
      <c r="M46" s="155">
        <f>IFERROR(IF(AND(((Calculations!O29)&lt;=P46),(Calculations!O29&gt;=N46)),K46*0.9,"-"),"-")</f>
        <v>3061.0605770962093</v>
      </c>
      <c r="N46" s="155">
        <f>IFERROR(INDEX(Master_Table[],MATCH($A46,Master_Table[PF+CCT+Tech],0),COLUMN(Master_Table[MinCurrent])),"-")</f>
        <v>20</v>
      </c>
      <c r="O46" s="155">
        <f>IFERROR(INDEX(Master_Table[],MATCH(A46,Master_Table[PF+CCT+Tech],0),COLUMN(Master_Table[Typical Current])),"-")</f>
        <v>950</v>
      </c>
      <c r="P46" s="161">
        <f>IFERROR(INDEX(Master_Table[],MATCH($A46,Master_Table[PF+CCT+Tech],0),COLUMN(Master_Table[Max Current])),"-")</f>
        <v>1050</v>
      </c>
      <c r="Q46" s="249"/>
      <c r="R46" s="65"/>
    </row>
    <row r="47" spans="1:121" x14ac:dyDescent="0.25">
      <c r="A47" s="43" t="str">
        <f t="shared" si="2"/>
        <v>18mm-1827GA</v>
      </c>
      <c r="C47" s="64"/>
      <c r="D47" s="158" t="s">
        <v>154</v>
      </c>
      <c r="E47" s="153" t="str">
        <f>IFERROR(INDEX(Master_Table[],MATCH(A47,Master_Table[PF+CCT+Tech],0),9),"-")</f>
        <v>BXRV-DR-1827G-4000-A-13</v>
      </c>
      <c r="F47" s="153" t="s">
        <v>15</v>
      </c>
      <c r="G47" s="153">
        <f>IFERROR(IF(AND(((Calculations!O30)&lt;=P47),(Calculations!O30&gt;=N47)),N$38,"-"),"-")</f>
        <v>2700</v>
      </c>
      <c r="H47" s="153">
        <f>IFERROR(IF(AND(((Calculations!O30)&lt;=P47),(Calculations!O30&gt;=N47)),IF(N38=1800,N47,Calculations!O30),"-"),"-")</f>
        <v>1290</v>
      </c>
      <c r="I47" s="154">
        <f>IFERROR(IF(AND(((Calculations!O30)&lt;=P47),(Calculations!O30&gt;=N47)),Calculations!X30,"-"),"-")</f>
        <v>34.512543141380391</v>
      </c>
      <c r="J47" s="154">
        <f>IFERROR(IF(AND(((Calculations!O30)&lt;=P47),(Calculations!O30&gt;=N47)),I47*H47/1000,"-"),"-")</f>
        <v>44.5211806523807</v>
      </c>
      <c r="K47" s="153">
        <f>IFERROR(IF(AND(((Calculations!O30)&lt;=P47),(Calculations!O30&gt;=N47)),Calculations!AF30,"-"),"-")</f>
        <v>5018.9633653826868</v>
      </c>
      <c r="L47" s="153">
        <f>IFERROR(IF(AND(((Calculations!O30)&lt;=P47),(Calculations!O30&gt;=N47)),K47/J47,"-"),"-")</f>
        <v>112.73203656862827</v>
      </c>
      <c r="M47" s="153">
        <f>IFERROR(IF(AND(((Calculations!O30)&lt;=P47),(Calculations!O30&gt;=N47)),K47*0.9,"-"),"-")</f>
        <v>4517.067028844418</v>
      </c>
      <c r="N47" s="153">
        <f>IFERROR(INDEX(Master_Table[],MATCH($A47,Master_Table[PF+CCT+Tech],0),COLUMN(Master_Table[MinCurrent])),"-")</f>
        <v>20</v>
      </c>
      <c r="O47" s="153">
        <f>IFERROR(INDEX(Master_Table[],MATCH(A47,Master_Table[PF+CCT+Tech],0),COLUMN(Master_Table[Typical Current])),"-")</f>
        <v>1290</v>
      </c>
      <c r="P47" s="159">
        <f>IFERROR(INDEX(Master_Table[],MATCH($A47,Master_Table[PF+CCT+Tech],0),COLUMN(Master_Table[Max Current])),"-")</f>
        <v>1400</v>
      </c>
      <c r="Q47" s="155"/>
      <c r="R47" s="65"/>
    </row>
    <row r="48" spans="1:121" x14ac:dyDescent="0.25">
      <c r="A48" s="43" t="str">
        <f t="shared" si="2"/>
        <v>29mm-1827GA</v>
      </c>
      <c r="C48" s="64"/>
      <c r="D48" s="162" t="s">
        <v>155</v>
      </c>
      <c r="E48" s="163" t="str">
        <f>IFERROR(INDEX(Master_Table[],MATCH(A48,Master_Table[PF+CCT+Tech],0),9),"-")</f>
        <v>BXRV-DR-1827G-10K0-A-13</v>
      </c>
      <c r="F48" s="163" t="s">
        <v>15</v>
      </c>
      <c r="G48" s="163">
        <f>IFERROR(IF(AND(((Calculations!O31)&lt;=P48),(Calculations!O31&gt;=N48)),N$38,"-"),"-")</f>
        <v>2700</v>
      </c>
      <c r="H48" s="163">
        <f>IFERROR(IF(AND(((Calculations!O31)&lt;=P48),(Calculations!O31&gt;=N48)),IF(N38=1800,N48,Calculations!O31),"-"),"-")</f>
        <v>2350</v>
      </c>
      <c r="I48" s="164">
        <f>IFERROR(IF(AND(((Calculations!O31)&lt;=P48),(Calculations!O31&gt;=N48)),Calculations!X31,"-"),"-")</f>
        <v>46.50850466324291</v>
      </c>
      <c r="J48" s="164">
        <f>IFERROR(IF(AND(((Calculations!O31)&lt;=P48),(Calculations!O31&gt;=N48)),I48*H48/1000,"-"),"-")</f>
        <v>109.29498595862083</v>
      </c>
      <c r="K48" s="163">
        <f>IFERROR(IF(AND(((Calculations!O31)&lt;=P48),(Calculations!O31&gt;=N48)),Calculations!AF31,"-"),"-")</f>
        <v>12836.234259684637</v>
      </c>
      <c r="L48" s="163">
        <f>IFERROR(IF(AND(((Calculations!O31)&lt;=P48),(Calculations!O31&gt;=N48)),K48/J48,"-"),"-")</f>
        <v>117.4457743609981</v>
      </c>
      <c r="M48" s="163">
        <f>IFERROR(IF(AND(((Calculations!O31)&lt;=P48),(Calculations!O31&gt;=N48)),K48*0.9,"-"),"-")</f>
        <v>11552.610833716173</v>
      </c>
      <c r="N48" s="163">
        <f>IFERROR(INDEX(Master_Table[],MATCH($A48,Master_Table[PF+CCT+Tech],0),COLUMN(Master_Table[MinCurrent])),"-")</f>
        <v>40</v>
      </c>
      <c r="O48" s="163">
        <f>IFERROR(INDEX(Master_Table[],MATCH(A48,Master_Table[PF+CCT+Tech],0),COLUMN(Master_Table[Typical Current])),"-")</f>
        <v>2350</v>
      </c>
      <c r="P48" s="165">
        <f>IFERROR(INDEX(Master_Table[],MATCH($A48,Master_Table[PF+CCT+Tech],0),COLUMN(Master_Table[Max Current])),"-")</f>
        <v>2500</v>
      </c>
      <c r="Q48" s="155"/>
      <c r="R48" s="65"/>
    </row>
    <row r="49" spans="1:18" x14ac:dyDescent="0.25">
      <c r="C49" s="59"/>
      <c r="D49" s="69"/>
      <c r="E49" s="70"/>
      <c r="F49" s="70"/>
      <c r="G49" s="58"/>
      <c r="H49" s="70"/>
      <c r="I49" s="70"/>
      <c r="J49" s="70"/>
      <c r="K49" s="70"/>
      <c r="L49" s="71"/>
      <c r="M49" s="71"/>
      <c r="N49" s="70"/>
      <c r="O49" s="70"/>
      <c r="P49" s="70"/>
      <c r="Q49" s="71"/>
      <c r="R49" s="60"/>
    </row>
    <row r="50" spans="1:18" x14ac:dyDescent="0.25">
      <c r="A50" s="43" t="str">
        <f t="shared" ref="A50:A57" si="3">D50&amp;C50&amp;"-"&amp;L$6&amp;F50</f>
        <v>Vesta-SE 6mm-1827GA</v>
      </c>
      <c r="C50" s="59"/>
      <c r="D50" s="158" t="s">
        <v>159</v>
      </c>
      <c r="E50" s="245" t="str">
        <f>IFERROR(INDEX(Master_Table[],MATCH(A50,Master_Table[PF+CCT+Tech],0),9),"-")</f>
        <v>BXRV-DR-1827G-0600-A-13-SE</v>
      </c>
      <c r="F50" s="245" t="s">
        <v>15</v>
      </c>
      <c r="G50" s="245">
        <f>IFERROR(IF(AND(((Calculations!O32)&lt;=P50),(Calculations!O32&gt;=N50)),N$38,"-"),"-")</f>
        <v>2700</v>
      </c>
      <c r="H50" s="245">
        <f>IFERROR(IF(AND(((Calculations!O32)&lt;=P50),(Calculations!O32&gt;=N50)),IF(N38=1800,N50,Calculations!O32),"-"),"-")</f>
        <v>350</v>
      </c>
      <c r="I50" s="262">
        <f>IFERROR(IF(AND(((Calculations!O32)&lt;=P50),(Calculations!O32&gt;=N50)),Calculations!X32,"-"),"-")</f>
        <v>17.000000000000007</v>
      </c>
      <c r="J50" s="262">
        <f>IFERROR(IF(AND(((Calculations!O32)&lt;=P50),(Calculations!O32&gt;=N50)),I50*H50/1000,"-"),"-")</f>
        <v>5.9500000000000028</v>
      </c>
      <c r="K50" s="245">
        <f>IFERROR(IF(AND(((Calculations!O32)&lt;=P50),(Calculations!O32&gt;=N50)),Calculations!AF32,"-"),"-")</f>
        <v>595.64807165639058</v>
      </c>
      <c r="L50" s="245">
        <f>IFERROR(IF(AND(((Calculations!O32)&lt;=P50),(Calculations!O32&gt;=N50)),K50/J50,"-"),"-")</f>
        <v>100.10891960611602</v>
      </c>
      <c r="M50" s="245">
        <f>IFERROR(IF(AND(((Calculations!O32)&lt;=P50),(Calculations!O32&gt;=N50)),K50*0.9,"-"),"-")</f>
        <v>536.0832644907515</v>
      </c>
      <c r="N50" s="245">
        <f>IFERROR(INDEX(Master_Table[],MATCH($A50,Master_Table[PF+CCT+Tech],0),COLUMN(Master_Table[MinCurrent])),"-")</f>
        <v>14</v>
      </c>
      <c r="O50" s="245">
        <f>IFERROR(INDEX(Master_Table[],MATCH($A50,Master_Table[PF+CCT+Tech],0),COLUMN(Master_Table[Typical Current])),"-")</f>
        <v>350</v>
      </c>
      <c r="P50" s="246">
        <f>IFERROR(INDEX(Master_Table[],MATCH($A50,Master_Table[PF+CCT+Tech],0),COLUMN(Master_Table[Max Current])),"-")</f>
        <v>420</v>
      </c>
      <c r="Q50" s="246"/>
      <c r="R50" s="60"/>
    </row>
    <row r="51" spans="1:18" x14ac:dyDescent="0.25">
      <c r="A51" s="43" t="str">
        <f t="shared" si="3"/>
        <v>Vesta-SE 9mm-1827GG</v>
      </c>
      <c r="C51" s="59"/>
      <c r="D51" s="160" t="s">
        <v>160</v>
      </c>
      <c r="E51" s="155" t="str">
        <f>IFERROR(INDEX(Master_Table[],MATCH(A51,Master_Table[PF+CCT+Tech],0),9),"-")</f>
        <v>BXRV-DR-1827G-1000-G-13-SE</v>
      </c>
      <c r="F51" s="155" t="s">
        <v>97</v>
      </c>
      <c r="G51" s="155">
        <f>IFERROR(IF(AND(((Calculations!O33)&lt;=P51),(Calculations!O33&gt;=N51)),N$38,"-"),"-")</f>
        <v>2700</v>
      </c>
      <c r="H51" s="155">
        <f>IFERROR(IF(AND(((Calculations!O33)&lt;=P51),(Calculations!O33&gt;=N51)),IF(N38=1800,N51,Calculations!O33),"-"),"-")</f>
        <v>250</v>
      </c>
      <c r="I51" s="156">
        <f>IFERROR(IF(AND(((Calculations!O33)&lt;=P51),(Calculations!O33&gt;=N51)),Calculations!X33,"-"),"-")</f>
        <v>17.000000000000014</v>
      </c>
      <c r="J51" s="156">
        <f>IFERROR(IF(AND(((Calculations!O33)&lt;=P51),(Calculations!O33&gt;=N51)),I51*H51/1000,"-"),"-")</f>
        <v>4.2500000000000036</v>
      </c>
      <c r="K51" s="155">
        <f>IFERROR(IF(AND(((Calculations!O33)&lt;=P51),(Calculations!O33&gt;=N51)),Calculations!AF33,"-"),"-")</f>
        <v>416.11020031014283</v>
      </c>
      <c r="L51" s="155">
        <f>IFERROR(IF(AND(((Calculations!O33)&lt;=P51),(Calculations!O33&gt;=N51)),K51/J51,"-"),"-")</f>
        <v>97.908282425915871</v>
      </c>
      <c r="M51" s="155">
        <f>IFERROR(IF(AND(((Calculations!O33)&lt;=P51),(Calculations!O33&gt;=N51)),K51*0.9,"-"),"-")</f>
        <v>374.49918027912855</v>
      </c>
      <c r="N51" s="155">
        <f>IFERROR(INDEX(Master_Table[],MATCH($A51,Master_Table[PF+CCT+Tech],0),COLUMN(Master_Table[MinCurrent])),"-")</f>
        <v>14</v>
      </c>
      <c r="O51" s="155">
        <f>IFERROR(INDEX(Master_Table[],MATCH(A51,Master_Table[PF+CCT+Tech],0),COLUMN(Master_Table[Typical Current])),"-")</f>
        <v>250</v>
      </c>
      <c r="P51" s="161">
        <f>IFERROR(INDEX(Master_Table[],MATCH($A51,Master_Table[PF+CCT+Tech],0),COLUMN(Master_Table[Max Current])),"-")</f>
        <v>300</v>
      </c>
      <c r="Q51" s="161"/>
      <c r="R51" s="60"/>
    </row>
    <row r="52" spans="1:18" x14ac:dyDescent="0.25">
      <c r="A52" s="43" t="str">
        <f t="shared" si="3"/>
        <v>Vesta-SE 9mm-1827GA</v>
      </c>
      <c r="C52" s="59"/>
      <c r="D52" s="158" t="s">
        <v>160</v>
      </c>
      <c r="E52" s="153" t="str">
        <f>IFERROR(INDEX(Master_Table[],MATCH(A52,Master_Table[PF+CCT+Tech],0),9),"-")</f>
        <v>BXRV-DR-1827G-1000-A-13-SE</v>
      </c>
      <c r="F52" s="153" t="s">
        <v>15</v>
      </c>
      <c r="G52" s="153">
        <f>IFERROR(IF(AND(((Calculations!O34)&lt;=P52),(Calculations!O34&gt;=N52)),N$38,"-"),"-")</f>
        <v>2700</v>
      </c>
      <c r="H52" s="153">
        <f>IFERROR(IF(AND(((Calculations!O34)&lt;=P52),(Calculations!O34&gt;=N52)),IF(N38=1800,N52,Calculations!O34),"-"),"-")</f>
        <v>350</v>
      </c>
      <c r="I52" s="154">
        <f>IFERROR(IF(AND(((Calculations!O34)&lt;=P52),(Calculations!O34&gt;=N52)),Calculations!X34,"-"),"-")</f>
        <v>17.000000000000007</v>
      </c>
      <c r="J52" s="154">
        <f>IFERROR(IF(AND(((Calculations!O34)&lt;=P52),(Calculations!O34&gt;=N52)),I52*H52/1000,"-"),"-")</f>
        <v>5.9500000000000028</v>
      </c>
      <c r="K52" s="153">
        <f>IFERROR(IF(AND(((Calculations!O34)&lt;=P52),(Calculations!O34&gt;=N52)),Calculations!AF34,"-"),"-")</f>
        <v>582.30473841119033</v>
      </c>
      <c r="L52" s="153">
        <f>IFERROR(IF(AND(((Calculations!O34)&lt;=P52),(Calculations!O34&gt;=N52)),K52/J52,"-"),"-")</f>
        <v>97.866342590115977</v>
      </c>
      <c r="M52" s="153">
        <f>IFERROR(IF(AND(((Calculations!O34)&lt;=P52),(Calculations!O34&gt;=N52)),K52*0.9,"-"),"-")</f>
        <v>524.07426457007136</v>
      </c>
      <c r="N52" s="153">
        <f>IFERROR(INDEX(Master_Table[],MATCH($A52,Master_Table[PF+CCT+Tech],0),COLUMN(Master_Table[MinCurrent])),"-")</f>
        <v>14</v>
      </c>
      <c r="O52" s="153">
        <f>IFERROR(INDEX(Master_Table[],MATCH(A52,Master_Table[PF+CCT+Tech],0),COLUMN(Master_Table[Typical Current])),"-")</f>
        <v>350</v>
      </c>
      <c r="P52" s="159">
        <f>IFERROR(INDEX(Master_Table[],MATCH($A52,Master_Table[PF+CCT+Tech],0),COLUMN(Master_Table[Max Current])),"-")</f>
        <v>420</v>
      </c>
      <c r="Q52" s="247"/>
      <c r="R52" s="60"/>
    </row>
    <row r="53" spans="1:18" x14ac:dyDescent="0.25">
      <c r="A53" s="43" t="str">
        <f t="shared" si="3"/>
        <v>Vesta-SE 9mm-1827GB</v>
      </c>
      <c r="C53" s="26"/>
      <c r="D53" s="160" t="s">
        <v>160</v>
      </c>
      <c r="E53" s="155" t="str">
        <f>IFERROR(INDEX(Master_Table[],MATCH(A53,Master_Table[PF+CCT+Tech],0),9),"-")</f>
        <v>BXRV-DR-1827G-1000-B-13-SE</v>
      </c>
      <c r="F53" s="155" t="s">
        <v>63</v>
      </c>
      <c r="G53" s="155">
        <f>IFERROR(IF(AND(((Calculations!O35)&lt;=P53),(Calculations!O35&gt;=N53)),N$38,"-"),"-")</f>
        <v>2700</v>
      </c>
      <c r="H53" s="155">
        <f>IFERROR(IF(AND(((Calculations!O35)&lt;=P53),(Calculations!O35&gt;=N53)),IF(N38=1800,N53,Calculations!O35),"-"),"-")</f>
        <v>350</v>
      </c>
      <c r="I53" s="156">
        <f>IFERROR(IF(AND(((Calculations!O35)&lt;=P53),(Calculations!O35&gt;=N53)),Calculations!X35,"-"),"-")</f>
        <v>33.79999999999999</v>
      </c>
      <c r="J53" s="156">
        <f>IFERROR(IF(AND(((Calculations!O35)&lt;=P53),(Calculations!O35&gt;=N53)),I53*H53/1000,"-"),"-")</f>
        <v>11.829999999999997</v>
      </c>
      <c r="K53" s="155">
        <f>IFERROR(IF(AND(((Calculations!O35)&lt;=P53),(Calculations!O35&gt;=N53)),Calculations!AF35,"-"),"-")</f>
        <v>1179.5858072911626</v>
      </c>
      <c r="L53" s="155">
        <f>IFERROR(IF(AND(((Calculations!O35)&lt;=P53),(Calculations!O35&gt;=N53)),K53/J53,"-"),"-")</f>
        <v>99.711395375415293</v>
      </c>
      <c r="M53" s="155">
        <f>IFERROR(IF(AND(((Calculations!O35)&lt;=P53),(Calculations!O35&gt;=N53)),K53*0.9,"-"),"-")</f>
        <v>1061.6272265620464</v>
      </c>
      <c r="N53" s="155">
        <f>IFERROR(INDEX(Master_Table[],MATCH($A53,Master_Table[PF+CCT+Tech],0),COLUMN(Master_Table[MinCurrent])),"-")</f>
        <v>14</v>
      </c>
      <c r="O53" s="155">
        <f>IFERROR(INDEX(Master_Table[],MATCH(A53,Master_Table[PF+CCT+Tech],0),COLUMN(Master_Table[Typical Current])),"-")</f>
        <v>350</v>
      </c>
      <c r="P53" s="161">
        <f>IFERROR(INDEX(Master_Table[],MATCH($A53,Master_Table[PF+CCT+Tech],0),COLUMN(Master_Table[Max Current])),"-")</f>
        <v>420</v>
      </c>
      <c r="Q53" s="248"/>
      <c r="R53" s="56"/>
    </row>
    <row r="54" spans="1:18" x14ac:dyDescent="0.25">
      <c r="A54" s="43" t="str">
        <f t="shared" si="3"/>
        <v>Vesta-SE 13mm-1827GA</v>
      </c>
      <c r="C54" s="26"/>
      <c r="D54" s="158" t="s">
        <v>161</v>
      </c>
      <c r="E54" s="153" t="str">
        <f>IFERROR(INDEX(Master_Table[],MATCH(A54,Master_Table[PF+CCT+Tech],0),9),"-")</f>
        <v>BXRV-DR-1827G-2000-A-13-SE</v>
      </c>
      <c r="F54" s="153" t="s">
        <v>15</v>
      </c>
      <c r="G54" s="153">
        <f>IFERROR(IF(AND(((Calculations!O36)&lt;=P54),(Calculations!O36&gt;=N54)),N$38,"-"),"-")</f>
        <v>2700</v>
      </c>
      <c r="H54" s="153">
        <f>IFERROR(IF(AND(((Calculations!O36)&lt;=P54),(Calculations!O36&gt;=N54)),IF(N38=1800,N54,Calculations!O36),"-"),"-")</f>
        <v>600</v>
      </c>
      <c r="I54" s="154">
        <f>IFERROR(IF(AND(((Calculations!O36)&lt;=P54),(Calculations!O36&gt;=N54)),Calculations!X36,"-"),"-")</f>
        <v>33.504541030295599</v>
      </c>
      <c r="J54" s="154">
        <f>IFERROR(IF(AND(((Calculations!O36)&lt;=P54),(Calculations!O36&gt;=N54)),I54*H54/1000,"-"),"-")</f>
        <v>20.102724618177358</v>
      </c>
      <c r="K54" s="153">
        <f>IFERROR(IF(AND(((Calculations!O36)&lt;=P54),(Calculations!O36&gt;=N54)),Calculations!AF36,"-"),"-")</f>
        <v>2026.8069238907965</v>
      </c>
      <c r="L54" s="153">
        <f>IFERROR(IF(AND(((Calculations!O36)&lt;=P54),(Calculations!O36&gt;=N54)),K54/J54,"-"),"-")</f>
        <v>100.82249856112091</v>
      </c>
      <c r="M54" s="153">
        <f>IFERROR(IF(AND(((Calculations!O36)&lt;=P54),(Calculations!O36&gt;=N54)),K54*0.9,"-"),"-")</f>
        <v>1824.1262315017168</v>
      </c>
      <c r="N54" s="153">
        <f>IFERROR(INDEX(Master_Table[],MATCH($A54,Master_Table[PF+CCT+Tech],0),COLUMN(Master_Table[MinCurrent])),"-")</f>
        <v>20</v>
      </c>
      <c r="O54" s="153">
        <f>IFERROR(INDEX(Master_Table[],MATCH(A54,Master_Table[PF+CCT+Tech],0),COLUMN(Master_Table[Typical Current])),"-")</f>
        <v>600</v>
      </c>
      <c r="P54" s="159">
        <f>IFERROR(INDEX(Master_Table[],MATCH($A54,Master_Table[PF+CCT+Tech],0),COLUMN(Master_Table[Max Current])),"-")</f>
        <v>720</v>
      </c>
      <c r="Q54" s="247"/>
      <c r="R54" s="56"/>
    </row>
    <row r="55" spans="1:18" x14ac:dyDescent="0.25">
      <c r="A55" s="43" t="str">
        <f t="shared" si="3"/>
        <v>Vesta-SE 15mm-1827GA</v>
      </c>
      <c r="C55" s="64"/>
      <c r="D55" s="160" t="s">
        <v>162</v>
      </c>
      <c r="E55" s="155" t="str">
        <f>IFERROR(INDEX(Master_Table[],MATCH(A55,Master_Table[PF+CCT+Tech],0),9),"-")</f>
        <v>BXRV-DR-1827G-3000-A-13-SE</v>
      </c>
      <c r="F55" s="155" t="s">
        <v>15</v>
      </c>
      <c r="G55" s="155">
        <f>IFERROR(IF(AND(((Calculations!O37)&lt;=P55),(Calculations!O37&gt;=N55)),N$38,"-"),"-")</f>
        <v>2700</v>
      </c>
      <c r="H55" s="155">
        <f>IFERROR(IF(AND(((Calculations!O37)&lt;=P55),(Calculations!O37&gt;=N55)),IF(N38=1800,N55,Calculations!O37),"-"),"-")</f>
        <v>950</v>
      </c>
      <c r="I55" s="156">
        <f>IFERROR(IF(AND(((Calculations!O37)&lt;=P55),(Calculations!O37&gt;=N55)),Calculations!X37,"-"),"-")</f>
        <v>34.11102755967363</v>
      </c>
      <c r="J55" s="156">
        <f>IFERROR(IF(AND(((Calculations!O37)&lt;=P55),(Calculations!O37&gt;=N55)),I55*H55/1000,"-"),"-")</f>
        <v>32.405476181689949</v>
      </c>
      <c r="K55" s="155">
        <f>IFERROR(IF(AND(((Calculations!O37)&lt;=P55),(Calculations!O37&gt;=N55)),Calculations!AF37,"-"),"-")</f>
        <v>3265.1312822359564</v>
      </c>
      <c r="L55" s="155">
        <f>IFERROR(IF(AND(((Calculations!O37)&lt;=P55),(Calculations!O37&gt;=N55)),K55/J55,"-"),"-")</f>
        <v>100.75862684223884</v>
      </c>
      <c r="M55" s="155">
        <f>IFERROR(IF(AND(((Calculations!O37)&lt;=P55),(Calculations!O37&gt;=N55)),K55*0.9,"-"),"-")</f>
        <v>2938.6181540123607</v>
      </c>
      <c r="N55" s="155">
        <f>IFERROR(INDEX(Master_Table[],MATCH($A55,Master_Table[PF+CCT+Tech],0),COLUMN(Master_Table[MinCurrent])),"-")</f>
        <v>20</v>
      </c>
      <c r="O55" s="155">
        <f>IFERROR(INDEX(Master_Table[],MATCH(A55,Master_Table[PF+CCT+Tech],0),COLUMN(Master_Table[Typical Current])),"-")</f>
        <v>950</v>
      </c>
      <c r="P55" s="161">
        <f>IFERROR(INDEX(Master_Table[],MATCH($A55,Master_Table[PF+CCT+Tech],0),COLUMN(Master_Table[Max Current])),"-")</f>
        <v>1050</v>
      </c>
      <c r="Q55" s="249"/>
      <c r="R55" s="65"/>
    </row>
    <row r="56" spans="1:18" x14ac:dyDescent="0.25">
      <c r="A56" s="43" t="str">
        <f t="shared" si="3"/>
        <v>Vesta-SE 18mm-1827GA</v>
      </c>
      <c r="C56" s="64"/>
      <c r="D56" s="158" t="s">
        <v>163</v>
      </c>
      <c r="E56" s="153" t="str">
        <f>IFERROR(INDEX(Master_Table[],MATCH(A56,Master_Table[PF+CCT+Tech],0),9),"-")</f>
        <v>BXRV-DR-1827G-4000-A-13-SE</v>
      </c>
      <c r="F56" s="153" t="s">
        <v>15</v>
      </c>
      <c r="G56" s="153">
        <f>IFERROR(IF(AND(((Calculations!O38)&lt;=P56),(Calculations!O38&gt;=N56)),N$38,"-"),"-")</f>
        <v>2700</v>
      </c>
      <c r="H56" s="153">
        <f>IFERROR(IF(AND(((Calculations!O38)&lt;=P56),(Calculations!O38&gt;=N56)),IF(N38=1800,N56,Calculations!O38),"-"),"-")</f>
        <v>1290</v>
      </c>
      <c r="I56" s="154">
        <f>IFERROR(IF(AND(((Calculations!O38)&lt;=P56),(Calculations!O38&gt;=N56)),Calculations!X38,"-"),"-")</f>
        <v>34.512543141380391</v>
      </c>
      <c r="J56" s="154">
        <f>IFERROR(IF(AND(((Calculations!O38)&lt;=P56),(Calculations!O38&gt;=N56)),I56*H56/1000,"-"),"-")</f>
        <v>44.5211806523807</v>
      </c>
      <c r="K56" s="153">
        <f>IFERROR(IF(AND(((Calculations!O38)&lt;=P56),(Calculations!O38&gt;=N56)),Calculations!AF38,"-"),"-")</f>
        <v>4818.2048307673795</v>
      </c>
      <c r="L56" s="153">
        <f>IFERROR(IF(AND(((Calculations!O38)&lt;=P56),(Calculations!O38&gt;=N56)),K56/J56,"-"),"-")</f>
        <v>108.22275510588315</v>
      </c>
      <c r="M56" s="153">
        <f>IFERROR(IF(AND(((Calculations!O38)&lt;=P56),(Calculations!O38&gt;=N56)),K56*0.9,"-"),"-")</f>
        <v>4336.3843476906413</v>
      </c>
      <c r="N56" s="153">
        <f>IFERROR(INDEX(Master_Table[],MATCH($A56,Master_Table[PF+CCT+Tech],0),COLUMN(Master_Table[MinCurrent])),"-")</f>
        <v>20</v>
      </c>
      <c r="O56" s="153">
        <f>IFERROR(INDEX(Master_Table[],MATCH(A56,Master_Table[PF+CCT+Tech],0),COLUMN(Master_Table[Typical Current])),"-")</f>
        <v>1290</v>
      </c>
      <c r="P56" s="159">
        <f>IFERROR(INDEX(Master_Table[],MATCH($A56,Master_Table[PF+CCT+Tech],0),COLUMN(Master_Table[Max Current])),"-")</f>
        <v>1400</v>
      </c>
      <c r="Q56" s="155"/>
      <c r="R56" s="65"/>
    </row>
    <row r="57" spans="1:18" x14ac:dyDescent="0.25">
      <c r="A57" s="43" t="str">
        <f t="shared" si="3"/>
        <v>Vesta-SE 29mm-1827GA</v>
      </c>
      <c r="C57" s="64"/>
      <c r="D57" s="162" t="s">
        <v>164</v>
      </c>
      <c r="E57" s="163" t="str">
        <f>IFERROR(INDEX(Master_Table[],MATCH(A57,Master_Table[PF+CCT+Tech],0),9),"-")</f>
        <v>BXRV-DR-1827G-10K0-A-13-SE</v>
      </c>
      <c r="F57" s="163" t="s">
        <v>15</v>
      </c>
      <c r="G57" s="163">
        <f>IFERROR(IF(AND(((Calculations!O39)&lt;=P57),(Calculations!O39&gt;=N57)),N$38,"-"),"-")</f>
        <v>2700</v>
      </c>
      <c r="H57" s="163">
        <f>IFERROR(IF(AND(((Calculations!O39)&lt;=P57),(Calculations!O39&gt;=N57)),IF(N38=1800,N57,Calculations!O39),"-"),"-")</f>
        <v>2350</v>
      </c>
      <c r="I57" s="164">
        <f>IFERROR(IF(AND(((Calculations!O39)&lt;=P57),(Calculations!O39&gt;=N57)),Calculations!X39,"-"),"-")</f>
        <v>46.50850466324291</v>
      </c>
      <c r="J57" s="164">
        <f>IFERROR(IF(AND(((Calculations!O39)&lt;=P57),(Calculations!O39&gt;=N57)),I57*H57/1000,"-"),"-")</f>
        <v>109.29498595862083</v>
      </c>
      <c r="K57" s="163">
        <f>IFERROR(IF(AND(((Calculations!O39)&lt;=P57),(Calculations!O39&gt;=N57)),Calculations!AF39,"-"),"-")</f>
        <v>12322.784889297251</v>
      </c>
      <c r="L57" s="163">
        <f>IFERROR(IF(AND(((Calculations!O39)&lt;=P57),(Calculations!O39&gt;=N57)),K57/J57,"-"),"-")</f>
        <v>112.74794338655816</v>
      </c>
      <c r="M57" s="163">
        <f>IFERROR(IF(AND(((Calculations!O39)&lt;=P57),(Calculations!O39&gt;=N57)),K57*0.9,"-"),"-")</f>
        <v>11090.506400367525</v>
      </c>
      <c r="N57" s="163">
        <f>IFERROR(INDEX(Master_Table[],MATCH($A57,Master_Table[PF+CCT+Tech],0),COLUMN(Master_Table[MinCurrent])),"-")</f>
        <v>40</v>
      </c>
      <c r="O57" s="163">
        <f>IFERROR(INDEX(Master_Table[],MATCH(A57,Master_Table[PF+CCT+Tech],0),COLUMN(Master_Table[Typical Current])),"-")</f>
        <v>2350</v>
      </c>
      <c r="P57" s="165">
        <f>IFERROR(INDEX(Master_Table[],MATCH($A57,Master_Table[PF+CCT+Tech],0),COLUMN(Master_Table[Max Current])),"-")</f>
        <v>2500</v>
      </c>
      <c r="Q57" s="155"/>
      <c r="R57" s="65"/>
    </row>
    <row r="58" spans="1:18" x14ac:dyDescent="0.25">
      <c r="C58" s="59"/>
      <c r="D58" s="69"/>
      <c r="E58" s="70"/>
      <c r="F58" s="70"/>
      <c r="G58" s="58"/>
      <c r="H58" s="70"/>
      <c r="I58" s="70"/>
      <c r="J58" s="70"/>
      <c r="K58" s="70"/>
      <c r="L58" s="71"/>
      <c r="M58" s="71"/>
      <c r="N58" s="70"/>
      <c r="O58" s="70"/>
      <c r="P58" s="70"/>
      <c r="Q58" s="71"/>
      <c r="R58" s="60"/>
    </row>
  </sheetData>
  <sheetProtection password="AD4E" sheet="1" objects="1" scenarios="1"/>
  <mergeCells count="4">
    <mergeCell ref="D1:N3"/>
    <mergeCell ref="I6:K6"/>
    <mergeCell ref="I8:K8"/>
    <mergeCell ref="T26:W26"/>
  </mergeCells>
  <phoneticPr fontId="61" type="noConversion"/>
  <dataValidations disablePrompts="1" count="1">
    <dataValidation type="decimal" allowBlank="1" showInputMessage="1" showErrorMessage="1" errorTitle="Temperature Range Exceeded" error="You have exceeded the maximum rated temperature allowed (Tc = 105ºC). " sqref="I8 K9:M10">
      <formula1>0</formula1>
      <formula2>105</formula2>
    </dataValidation>
  </dataValidations>
  <pageMargins left="0.7" right="0.7" top="0.75" bottom="0.75" header="0.3" footer="0.3"/>
  <pageSetup paperSize="9" orientation="portrait" horizontalDpi="75" verticalDpi="75" r:id="rId1"/>
  <drawing r:id="rId2"/>
  <extLst>
    <ext xmlns:x14="http://schemas.microsoft.com/office/spreadsheetml/2009/9/main" uri="{CCE6A557-97BC-4b89-ADB6-D9C93CAAB3DF}">
      <x14:dataValidations xmlns:xm="http://schemas.microsoft.com/office/excel/2006/main" disablePrompts="1" count="1">
        <x14:dataValidation type="list" showInputMessage="1" showErrorMessage="1">
          <x14:formula1>
            <xm:f>'Lumen Ratio Tables'!$B$3:$B$6</xm:f>
          </x14:formula1>
          <xm:sqref>I6:K6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N39"/>
  <sheetViews>
    <sheetView topLeftCell="M1" zoomScaleNormal="100" workbookViewId="0">
      <selection activeCell="AE24" sqref="AE24"/>
    </sheetView>
  </sheetViews>
  <sheetFormatPr defaultRowHeight="15.75" x14ac:dyDescent="0.25"/>
  <cols>
    <col min="1" max="1" width="15.7109375" bestFit="1" customWidth="1"/>
    <col min="2" max="2" width="26" bestFit="1" customWidth="1"/>
    <col min="3" max="3" width="10.28515625" bestFit="1" customWidth="1"/>
    <col min="8" max="8" width="10.28515625" bestFit="1" customWidth="1"/>
    <col min="9" max="9" width="11.28515625" bestFit="1" customWidth="1"/>
    <col min="10" max="10" width="12.140625" bestFit="1" customWidth="1"/>
    <col min="11" max="11" width="11.85546875" bestFit="1" customWidth="1"/>
    <col min="12" max="13" width="9.28515625" bestFit="1" customWidth="1"/>
    <col min="14" max="14" width="20.28515625" bestFit="1" customWidth="1"/>
    <col min="15" max="15" width="13.140625" bestFit="1" customWidth="1"/>
    <col min="16" max="16" width="13.5703125" bestFit="1" customWidth="1"/>
    <col min="17" max="17" width="16" bestFit="1" customWidth="1"/>
    <col min="18" max="18" width="11.140625" bestFit="1" customWidth="1"/>
    <col min="19" max="19" width="9.5703125" bestFit="1" customWidth="1"/>
    <col min="21" max="21" width="11.42578125" bestFit="1" customWidth="1"/>
    <col min="22" max="22" width="11" bestFit="1" customWidth="1"/>
    <col min="23" max="23" width="12.7109375" bestFit="1" customWidth="1"/>
    <col min="24" max="24" width="7.140625" bestFit="1" customWidth="1"/>
    <col min="25" max="25" width="12.7109375" bestFit="1" customWidth="1"/>
    <col min="26" max="26" width="11.85546875" bestFit="1" customWidth="1"/>
    <col min="27" max="27" width="15.85546875" bestFit="1" customWidth="1"/>
    <col min="28" max="28" width="11.85546875" bestFit="1" customWidth="1"/>
    <col min="29" max="29" width="12" bestFit="1" customWidth="1"/>
    <col min="30" max="30" width="12.140625" bestFit="1" customWidth="1"/>
    <col min="31" max="31" width="12" bestFit="1" customWidth="1"/>
    <col min="32" max="32" width="13.140625" customWidth="1"/>
    <col min="33" max="33" width="11.85546875" bestFit="1" customWidth="1"/>
    <col min="34" max="34" width="16" bestFit="1" customWidth="1"/>
    <col min="35" max="35" width="12" bestFit="1" customWidth="1"/>
    <col min="43" max="43" width="7" bestFit="1" customWidth="1"/>
    <col min="44" max="44" width="16" bestFit="1" customWidth="1"/>
    <col min="53" max="53" width="7" bestFit="1" customWidth="1"/>
    <col min="54" max="58" width="11.7109375" bestFit="1" customWidth="1"/>
    <col min="59" max="59" width="12" bestFit="1" customWidth="1"/>
  </cols>
  <sheetData>
    <row r="1" spans="1:40" x14ac:dyDescent="0.25">
      <c r="A1" t="s">
        <v>58</v>
      </c>
      <c r="C1" s="2" t="s">
        <v>110</v>
      </c>
      <c r="D1" s="100">
        <f>Simulator!N14</f>
        <v>250</v>
      </c>
      <c r="E1" t="s">
        <v>3</v>
      </c>
      <c r="F1" s="100">
        <f>Simulator!I8</f>
        <v>25</v>
      </c>
      <c r="H1" t="s">
        <v>115</v>
      </c>
      <c r="I1" t="str">
        <f>INDEX(Master_Table[],MATCH(Simulator!L6,Master_Table[Nominal CCT+CRI],0),COLUMN(CCT_CRI[Warm]))</f>
        <v>1827G</v>
      </c>
      <c r="J1">
        <f>IFERROR(INDEX(CCT_CRI[],MATCH(Simulator!I6,CCT_CRI[Nominal CCT+CRI],0),4),"-")</f>
        <v>2700</v>
      </c>
      <c r="K1">
        <f>J1-99.9</f>
        <v>2600.1</v>
      </c>
      <c r="N1" s="285"/>
    </row>
    <row r="2" spans="1:40" x14ac:dyDescent="0.25">
      <c r="C2" s="2" t="s">
        <v>2</v>
      </c>
      <c r="D2" s="100">
        <f>Simulator!N38</f>
        <v>2700</v>
      </c>
      <c r="F2" s="100"/>
      <c r="H2" t="s">
        <v>116</v>
      </c>
    </row>
    <row r="3" spans="1:40" ht="16.5" thickBot="1" x14ac:dyDescent="0.3">
      <c r="B3" t="s">
        <v>61</v>
      </c>
      <c r="AA3" s="309" t="s">
        <v>149</v>
      </c>
      <c r="AB3" s="309"/>
      <c r="AC3" s="309"/>
      <c r="AD3" s="309"/>
      <c r="AE3" s="309"/>
      <c r="AF3" s="309"/>
      <c r="AG3" s="309"/>
      <c r="AH3" s="309" t="s">
        <v>150</v>
      </c>
      <c r="AI3" s="309"/>
      <c r="AJ3" s="309"/>
      <c r="AK3" s="309"/>
      <c r="AL3" s="309"/>
      <c r="AM3" s="309"/>
    </row>
    <row r="4" spans="1:40" ht="16.5" thickBot="1" x14ac:dyDescent="0.3">
      <c r="B4" s="103" t="s">
        <v>57</v>
      </c>
      <c r="C4" s="104" t="s">
        <v>17</v>
      </c>
      <c r="D4" s="104" t="s">
        <v>4</v>
      </c>
      <c r="E4" s="104" t="s">
        <v>5</v>
      </c>
      <c r="F4" s="104" t="s">
        <v>33</v>
      </c>
      <c r="G4" s="104" t="s">
        <v>34</v>
      </c>
      <c r="H4" s="105" t="s">
        <v>113</v>
      </c>
      <c r="I4" s="256" t="s">
        <v>16</v>
      </c>
      <c r="J4" s="104" t="s">
        <v>0</v>
      </c>
      <c r="K4" s="104" t="s">
        <v>1</v>
      </c>
      <c r="L4" s="104" t="s">
        <v>35</v>
      </c>
      <c r="M4" s="104" t="s">
        <v>36</v>
      </c>
      <c r="N4" s="257" t="s">
        <v>132</v>
      </c>
      <c r="O4" s="258" t="s">
        <v>131</v>
      </c>
      <c r="Q4" s="256" t="s">
        <v>59</v>
      </c>
      <c r="R4" s="103" t="s">
        <v>28</v>
      </c>
      <c r="S4" s="104" t="s">
        <v>29</v>
      </c>
      <c r="T4" s="104" t="s">
        <v>30</v>
      </c>
      <c r="U4" s="104" t="s">
        <v>31</v>
      </c>
      <c r="V4" s="105" t="s">
        <v>32</v>
      </c>
      <c r="W4" s="103" t="s">
        <v>31</v>
      </c>
      <c r="X4" s="265" t="s">
        <v>60</v>
      </c>
      <c r="Y4" s="105" t="s">
        <v>31</v>
      </c>
      <c r="AA4" s="258" t="s">
        <v>26</v>
      </c>
      <c r="AB4" s="103" t="s">
        <v>119</v>
      </c>
      <c r="AC4" s="104" t="s">
        <v>120</v>
      </c>
      <c r="AD4" s="104" t="s">
        <v>121</v>
      </c>
      <c r="AE4" s="104" t="s">
        <v>122</v>
      </c>
      <c r="AF4" s="105" t="s">
        <v>123</v>
      </c>
      <c r="AG4" s="105" t="s">
        <v>2</v>
      </c>
      <c r="AH4" s="103" t="s">
        <v>119</v>
      </c>
      <c r="AI4" s="104" t="s">
        <v>120</v>
      </c>
      <c r="AJ4" s="104" t="s">
        <v>121</v>
      </c>
      <c r="AK4" s="104" t="s">
        <v>122</v>
      </c>
      <c r="AL4" s="105" t="s">
        <v>123</v>
      </c>
      <c r="AM4" s="105" t="s">
        <v>2</v>
      </c>
      <c r="AN4" s="105" t="s">
        <v>2</v>
      </c>
    </row>
    <row r="5" spans="1:40" x14ac:dyDescent="0.25">
      <c r="A5" t="s">
        <v>98</v>
      </c>
      <c r="B5" s="101">
        <f>INDEX(Master_Table[],MATCH(Simulator!E17,Master_Table[P/N],0),COLUMN(Master_Table[Typical Lumens]))</f>
        <v>627</v>
      </c>
      <c r="C5" s="277">
        <f>INDEX(Master_Table[],MATCH(Simulator!$E17,Master_Table[P/N],0),COLUMN(Master_Table[I^4]))</f>
        <v>2.5527298190086784E-12</v>
      </c>
      <c r="D5" s="106">
        <f>INDEX(Master_Table[],MATCH(Simulator!$E17,Master_Table[P/N],0),COLUMN(Master_Table[I^3]))</f>
        <v>-1.1222752115618928E-8</v>
      </c>
      <c r="E5" s="106">
        <f>INDEX(Master_Table[],MATCH(Simulator!$E17,Master_Table[P/N],0),COLUMN(Master_Table[I^2]))</f>
        <v>7.7450141538800007E-6</v>
      </c>
      <c r="F5" s="106">
        <f>INDEX(Master_Table[],MATCH(Simulator!$E17,Master_Table[P/N],0),COLUMN(Master_Table[I]))</f>
        <v>1.4039619916702939E-3</v>
      </c>
      <c r="G5" s="106">
        <f>INDEX(Master_Table[],MATCH(Simulator!$E17,Master_Table[P/N],0),COLUMN(Master_Table[I0]))</f>
        <v>2.7144267987603832E-3</v>
      </c>
      <c r="H5" s="218">
        <f t="shared" ref="H5:H10" si="0">(C5*D$1^4+D5*D$1^3+E5*D$1^2+F5*D$1^1+G5)</f>
        <v>0.67238440838279079</v>
      </c>
      <c r="I5" s="101">
        <f>INDEX(Master_Table[],MATCH(Simulator!$E17,Master_Table[P/N],0),COLUMN(Master_Table[T^4]))</f>
        <v>0</v>
      </c>
      <c r="J5" s="191">
        <f>INDEX(Master_Table[],MATCH(Simulator!$E17,Master_Table[P/N],0),COLUMN(Master_Table[T^3]))</f>
        <v>-2.3576793399445561E-8</v>
      </c>
      <c r="K5" s="191">
        <f>INDEX(Master_Table[],MATCH(Simulator!$E17,Master_Table[P/N],0),COLUMN(Master_Table[T^2]))</f>
        <v>2.2657074525315222E-8</v>
      </c>
      <c r="L5" s="191">
        <f>INDEX(Master_Table[],MATCH(Simulator!$E17,Master_Table[P/N],0),COLUMN(Master_Table[T]))</f>
        <v>-1.0052927172015966E-3</v>
      </c>
      <c r="M5" s="191">
        <f>INDEX(Master_Table[],MATCH(Simulator!$E17,Master_Table[P/N],0),COLUMN(Master_Table[T0]))</f>
        <v>1.0254865446553281</v>
      </c>
      <c r="N5" s="97">
        <f t="shared" ref="N5:N10" si="1">(I5*F$1^4+J5*F$1^3+K5*F$1^2+L5*F$1^1+M5)</f>
        <v>1.0000000000000002</v>
      </c>
      <c r="O5" s="97">
        <f t="shared" ref="O5:O13" si="2">IFERROR(N5*H5*B5,"-")</f>
        <v>421.5850240560099</v>
      </c>
      <c r="Q5" s="101">
        <f>INDEX(Master_Table[],MATCH(Simulator!E17,Master_Table[P/N],0),COLUMN(Master_Table[Typical Voltage]))</f>
        <v>17</v>
      </c>
      <c r="R5" s="277">
        <f>INDEX(Master_Table[],MATCH(Simulator!$E17,Master_Table[P/N],0),COLUMN(Master_Table[V^4]))</f>
        <v>-8.376945271258572E-10</v>
      </c>
      <c r="S5" s="191">
        <f>INDEX(Master_Table[],MATCH(Simulator!$E17,Master_Table[P/N],0),COLUMN(Master_Table[V^3]))</f>
        <v>8.9384798476104261E-7</v>
      </c>
      <c r="T5" s="191">
        <f>INDEX(Master_Table[],MATCH(Simulator!$E17,Master_Table[P/N],0),COLUMN(Master_Table[V^2]))</f>
        <v>-3.4918548154403849E-4</v>
      </c>
      <c r="U5" s="191">
        <f>INDEX(Master_Table[],MATCH(Simulator!$E17,Master_Table[P/N],0),COLUMN(Master_Table[V]))</f>
        <v>6.7662061532231255E-2</v>
      </c>
      <c r="V5" s="191">
        <f>INDEX(Master_Table[],MATCH(Simulator!$E17,Master_Table[P/N],0),COLUMN(Master_Table[V0]))</f>
        <v>10.340421103916475</v>
      </c>
      <c r="W5" s="219">
        <f>R5*D$1*D$1*D$1*D$1+S5*D$1*D$1*D$1+T5*D$1*D$1+U5*D$1+V5</f>
        <v>16.125974405777789</v>
      </c>
      <c r="X5" s="114">
        <f>(F$1-25)*INDEX(Master_Table[],MATCH(Simulator!$E17,Master_Table[P/N],0),COLUMN(Master_Table[dV/dT (mV/C)]))/1000</f>
        <v>0</v>
      </c>
      <c r="Y5" s="114">
        <f t="shared" ref="Y5:Y10" si="3">W5+X5</f>
        <v>16.125974405777789</v>
      </c>
      <c r="AA5" s="101">
        <f>INDEX(Master_Table[],MATCH(Simulator!E17,Master_Table[P/N],0),COLUMN(Master_Table[Typical Current]))</f>
        <v>350</v>
      </c>
      <c r="AB5" s="191">
        <f>INDEX(Master_Table[],MATCH(Simulator!$E17,Master_Table[P/N],0),COLUMN(Master_Table[CCT^4]))</f>
        <v>6.4156947867695485E-8</v>
      </c>
      <c r="AC5" s="191">
        <f>INDEX(Master_Table[],MATCH(Simulator!$E17,Master_Table[P/N],0),COLUMN(Master_Table[CCT^3]))</f>
        <v>-4.5361634125887272E-5</v>
      </c>
      <c r="AD5" s="191">
        <f>INDEX(Master_Table[],MATCH(Simulator!$E17,Master_Table[P/N],0),COLUMN(Master_Table[CCT^2]))</f>
        <v>1.3882185029054264E-3</v>
      </c>
      <c r="AE5" s="191">
        <f>INDEX(Master_Table[],MATCH(Simulator!$E17,Master_Table[P/N],0),COLUMN(Master_Table[CCT^1]))</f>
        <v>5.1060272500489212</v>
      </c>
      <c r="AF5" s="191">
        <f>INDEX(Master_Table[],MATCH(Simulator!$E17,Master_Table[P/N],0),COLUMN(Master_Table[CCT^0]))</f>
        <v>1716.8924668712493</v>
      </c>
      <c r="AG5" s="267">
        <f t="shared" ref="AG5:AG13" si="4">IF(D$1/AA5&lt;0.75,AB5*D$1^4+AC5*D$1^3+AD5*D$1^2+AE5*D$1^1+AF5,0)</f>
        <v>2622.0004802062658</v>
      </c>
      <c r="AH5" s="191">
        <f>INDEX(Master_Table[],MATCH(Simulator!$E17,Master_Table[P/N],0),COLUMN(Master_Table[CCT^42]))</f>
        <v>6.4156947867695485E-8</v>
      </c>
      <c r="AI5" s="191">
        <f>INDEX(Master_Table[],MATCH(Simulator!$E17,Master_Table[P/N],0),COLUMN(Master_Table[CCT^32]))</f>
        <v>-4.5361634125887272E-5</v>
      </c>
      <c r="AJ5" s="191">
        <f>INDEX(Master_Table[],MATCH(Simulator!$E17,Master_Table[P/N],0),COLUMN(Master_Table[CCT^22]))</f>
        <v>1.3882185029054264E-3</v>
      </c>
      <c r="AK5" s="191">
        <f>INDEX(Master_Table[],MATCH(Simulator!$E17,Master_Table[P/N],0),COLUMN(Master_Table[CCT^12]))</f>
        <v>5.1060272500489212</v>
      </c>
      <c r="AL5" s="191">
        <f>INDEX(Master_Table[],MATCH(Simulator!$E17,Master_Table[P/N],0),COLUMN(Master_Table[CCT^02]))</f>
        <v>1716.8924668712493</v>
      </c>
      <c r="AM5" s="267">
        <f t="shared" ref="AM5:AM13" si="5">IF(D$1/AA5&gt;=0.75,AH5*D$1^4+AI5*D$1^3+AJ5*D$1^2+AK5*D$1^1+AL5,0)</f>
        <v>0</v>
      </c>
      <c r="AN5" s="221">
        <f t="shared" ref="AN5:AN13" si="6">AM5+AG5</f>
        <v>2622.0004802062658</v>
      </c>
    </row>
    <row r="6" spans="1:40" x14ac:dyDescent="0.25">
      <c r="A6" t="s">
        <v>99</v>
      </c>
      <c r="B6" s="77">
        <f>INDEX(Master_Table[],MATCH(Simulator!E18,Master_Table[P/N],0),COLUMN(Master_Table[Typical Lumens]))</f>
        <v>438</v>
      </c>
      <c r="C6" s="4">
        <f>INDEX(Master_Table[],MATCH(Simulator!$E18,Master_Table[P/N],0),COLUMN(Master_Table[I^4]))</f>
        <v>-1.5049654997828334E-12</v>
      </c>
      <c r="D6" s="4">
        <f>INDEX(Master_Table[],MATCH(Simulator!$E18,Master_Table[P/N],0),COLUMN(Master_Table[I^3]))</f>
        <v>-2.2721906642875206E-8</v>
      </c>
      <c r="E6" s="4">
        <f>INDEX(Master_Table[],MATCH(Simulator!$E18,Master_Table[P/N],0),COLUMN(Master_Table[I^2]))</f>
        <v>1.3244252285598832E-5</v>
      </c>
      <c r="F6" s="4">
        <f>INDEX(Master_Table[],MATCH(Simulator!$E18,Master_Table[P/N],0),COLUMN(Master_Table[I]))</f>
        <v>2.1344749988985432E-3</v>
      </c>
      <c r="G6" s="4">
        <f>INDEX(Master_Table[],MATCH(Simulator!$E18,Master_Table[P/N],0),COLUMN(Master_Table[I0]))</f>
        <v>-4.5144071261465262E-4</v>
      </c>
      <c r="H6" s="78">
        <f t="shared" si="0"/>
        <v>1.0000245140834965</v>
      </c>
      <c r="I6" s="77">
        <f>INDEX(Master_Table[],MATCH(Simulator!$E18,Master_Table[P/N],0),COLUMN(Master_Table[T^4]))</f>
        <v>0</v>
      </c>
      <c r="J6" s="254">
        <f>INDEX(Master_Table[],MATCH(Simulator!$E18,Master_Table[P/N],0),COLUMN(Master_Table[T^3]))</f>
        <v>-2.4074887656866403E-8</v>
      </c>
      <c r="K6" s="254">
        <f>INDEX(Master_Table[],MATCH(Simulator!$E18,Master_Table[P/N],0),COLUMN(Master_Table[T^2]))</f>
        <v>-5.8938036295637434E-8</v>
      </c>
      <c r="L6" s="254">
        <f>INDEX(Master_Table[],MATCH(Simulator!$E18,Master_Table[P/N],0),COLUMN(Master_Table[T]))</f>
        <v>-9.9306787123950571E-4</v>
      </c>
      <c r="M6" s="254">
        <f>INDEX(Master_Table[],MATCH(Simulator!$E18,Master_Table[P/N],0),COLUMN(Master_Table[T0]))</f>
        <v>1.0252397031733109</v>
      </c>
      <c r="N6" s="75">
        <f t="shared" si="1"/>
        <v>1</v>
      </c>
      <c r="O6" s="75">
        <f t="shared" si="2"/>
        <v>438.01073716857144</v>
      </c>
      <c r="Q6" s="77">
        <f>INDEX(Master_Table[],MATCH(Simulator!E18,Master_Table[P/N],0),COLUMN(Master_Table[Typical Voltage]))</f>
        <v>17</v>
      </c>
      <c r="R6" s="254">
        <f>INDEX(Master_Table[],MATCH(Simulator!$E18,Master_Table[P/N],0),COLUMN(Master_Table[V^4]))</f>
        <v>-3.0167959188950945E-9</v>
      </c>
      <c r="S6" s="254">
        <f>INDEX(Master_Table[],MATCH(Simulator!$E18,Master_Table[P/N],0),COLUMN(Master_Table[V^3]))</f>
        <v>2.3342165607486289E-6</v>
      </c>
      <c r="T6" s="254">
        <f>INDEX(Master_Table[],MATCH(Simulator!$E18,Master_Table[P/N],0),COLUMN(Master_Table[V^2]))</f>
        <v>-6.6635585775587348E-4</v>
      </c>
      <c r="U6" s="254">
        <f>INDEX(Master_Table[],MATCH(Simulator!$E18,Master_Table[P/N],0),COLUMN(Master_Table[V]))</f>
        <v>9.5928073054976568E-2</v>
      </c>
      <c r="V6" s="254">
        <f>INDEX(Master_Table[],MATCH(Simulator!$E18,Master_Table[P/N],0),COLUMN(Master_Table[V0]))</f>
        <v>9.9774481424845956</v>
      </c>
      <c r="W6" s="217">
        <f t="shared" ref="W6:W12" si="7">R6*D$1*D$1*D$1*D$1+S6*D$1*D$1*D$1+T6*D$1*D$1+U6*D$1+V6</f>
        <v>17.000000000000014</v>
      </c>
      <c r="X6" s="109">
        <f>(F$1-25)*INDEX(Master_Table[],MATCH(Simulator!$E18,Master_Table[P/N],0),COLUMN(Master_Table[dV/dT (mV/C)]))/1000</f>
        <v>0</v>
      </c>
      <c r="Y6" s="109">
        <f t="shared" si="3"/>
        <v>17.000000000000014</v>
      </c>
      <c r="AA6" s="77">
        <f>INDEX(Master_Table[],MATCH(Simulator!E18,Master_Table[P/N],0),COLUMN(Master_Table[Typical Current]))</f>
        <v>250</v>
      </c>
      <c r="AB6" s="254">
        <f>INDEX(Master_Table[],MATCH(Simulator!$E18,Master_Table[P/N],0),COLUMN(Master_Table[CCT^4]))</f>
        <v>0</v>
      </c>
      <c r="AC6" s="254">
        <f>INDEX(Master_Table[],MATCH(Simulator!$E18,Master_Table[P/N],0),COLUMN(Master_Table[CCT^3]))</f>
        <v>3.1013999999999998E-5</v>
      </c>
      <c r="AD6" s="254">
        <f>INDEX(Master_Table[],MATCH(Simulator!$E18,Master_Table[P/N],0),COLUMN(Master_Table[CCT^2]))</f>
        <v>-3.0558999999999999E-2</v>
      </c>
      <c r="AE6" s="254">
        <f>INDEX(Master_Table[],MATCH(Simulator!$E18,Master_Table[P/N],0),COLUMN(Master_Table[CCT^1]))</f>
        <v>9.8179999999999996</v>
      </c>
      <c r="AF6" s="254">
        <f>INDEX(Master_Table[],MATCH(Simulator!$E18,Master_Table[P/N],0),COLUMN(Master_Table[CCT^0]))</f>
        <v>1669.3</v>
      </c>
      <c r="AG6" s="268">
        <f t="shared" si="4"/>
        <v>0</v>
      </c>
      <c r="AH6" s="254">
        <f>INDEX(Master_Table[],MATCH(Simulator!$E18,Master_Table[P/N],0),COLUMN(Master_Table[CCT^42]))</f>
        <v>0</v>
      </c>
      <c r="AI6" s="254">
        <f>INDEX(Master_Table[],MATCH(Simulator!$E18,Master_Table[P/N],0),COLUMN(Master_Table[CCT^32]))</f>
        <v>0</v>
      </c>
      <c r="AJ6" s="254">
        <f>INDEX(Master_Table[],MATCH(Simulator!$E18,Master_Table[P/N],0),COLUMN(Master_Table[CCT^22]))</f>
        <v>5.3972999999999998E-4</v>
      </c>
      <c r="AK6" s="254">
        <f>INDEX(Master_Table[],MATCH(Simulator!$E18,Master_Table[P/N],0),COLUMN(Master_Table[CCT^12]))</f>
        <v>0.59370000000000001</v>
      </c>
      <c r="AL6" s="254">
        <f>INDEX(Master_Table[],MATCH(Simulator!$E18,Master_Table[P/N],0),COLUMN(Master_Table[CCT^02]))</f>
        <v>2517.8000000000002</v>
      </c>
      <c r="AM6" s="107">
        <f t="shared" si="5"/>
        <v>2699.9581250000001</v>
      </c>
      <c r="AN6" s="102">
        <f t="shared" si="6"/>
        <v>2699.9581250000001</v>
      </c>
    </row>
    <row r="7" spans="1:40" x14ac:dyDescent="0.25">
      <c r="A7" t="s">
        <v>100</v>
      </c>
      <c r="B7" s="77">
        <f>INDEX(Master_Table[],MATCH(Simulator!E19,Master_Table[P/N],0),COLUMN(Master_Table[Typical Lumens]))</f>
        <v>613</v>
      </c>
      <c r="C7" s="4">
        <f>INDEX(Master_Table[],MATCH(Simulator!$E19,Master_Table[P/N],0),COLUMN(Master_Table[I^4]))</f>
        <v>2.0563232639415106E-12</v>
      </c>
      <c r="D7" s="4">
        <f>INDEX(Master_Table[],MATCH(Simulator!$E19,Master_Table[P/N],0),COLUMN(Master_Table[I^3]))</f>
        <v>-1.1547329885441754E-8</v>
      </c>
      <c r="E7" s="4">
        <f>INDEX(Master_Table[],MATCH(Simulator!$E19,Master_Table[P/N],0),COLUMN(Master_Table[I^2]))</f>
        <v>8.1130316176974384E-6</v>
      </c>
      <c r="F7" s="4">
        <f>INDEX(Master_Table[],MATCH(Simulator!$E19,Master_Table[P/N],0),COLUMN(Master_Table[I]))</f>
        <v>1.3363941338751929E-3</v>
      </c>
      <c r="G7" s="4">
        <f>INDEX(Master_Table[],MATCH(Simulator!$E19,Master_Table[P/N],0),COLUMN(Master_Table[I0]))</f>
        <v>2.5720255218239819E-3</v>
      </c>
      <c r="H7" s="78">
        <f t="shared" si="0"/>
        <v>0.67134051838645625</v>
      </c>
      <c r="I7" s="77">
        <f>INDEX(Master_Table[],MATCH(Simulator!$E19,Master_Table[P/N],0),COLUMN(Master_Table[T^4]))</f>
        <v>0</v>
      </c>
      <c r="J7" s="254">
        <f>INDEX(Master_Table[],MATCH(Simulator!$E19,Master_Table[P/N],0),COLUMN(Master_Table[T^3]))</f>
        <v>-2.4074887656866403E-8</v>
      </c>
      <c r="K7" s="254">
        <f>INDEX(Master_Table[],MATCH(Simulator!$E19,Master_Table[P/N],0),COLUMN(Master_Table[T^2]))</f>
        <v>-5.8938036295637434E-8</v>
      </c>
      <c r="L7" s="254">
        <f>INDEX(Master_Table[],MATCH(Simulator!$E19,Master_Table[P/N],0),COLUMN(Master_Table[T]))</f>
        <v>-9.9306787123950571E-4</v>
      </c>
      <c r="M7" s="254">
        <f>INDEX(Master_Table[],MATCH(Simulator!$E19,Master_Table[P/N],0),COLUMN(Master_Table[T0]))</f>
        <v>1.0252397031733109</v>
      </c>
      <c r="N7" s="75">
        <f t="shared" si="1"/>
        <v>1</v>
      </c>
      <c r="O7" s="75">
        <f t="shared" si="2"/>
        <v>411.53173777089768</v>
      </c>
      <c r="Q7" s="77">
        <f>INDEX(Master_Table[],MATCH(Simulator!E19,Master_Table[P/N],0),COLUMN(Master_Table[Typical Voltage]))</f>
        <v>17</v>
      </c>
      <c r="R7" s="254">
        <f>INDEX(Master_Table[],MATCH(Simulator!$E19,Master_Table[P/N],0),COLUMN(Master_Table[V^4]))</f>
        <v>-8.376945271258572E-10</v>
      </c>
      <c r="S7" s="254">
        <f>INDEX(Master_Table[],MATCH(Simulator!$E19,Master_Table[P/N],0),COLUMN(Master_Table[V^3]))</f>
        <v>8.9384798476104261E-7</v>
      </c>
      <c r="T7" s="254">
        <f>INDEX(Master_Table[],MATCH(Simulator!$E19,Master_Table[P/N],0),COLUMN(Master_Table[V^2]))</f>
        <v>-3.4918548154403849E-4</v>
      </c>
      <c r="U7" s="254">
        <f>INDEX(Master_Table[],MATCH(Simulator!$E19,Master_Table[P/N],0),COLUMN(Master_Table[V]))</f>
        <v>6.7662061532231255E-2</v>
      </c>
      <c r="V7" s="254">
        <f>INDEX(Master_Table[],MATCH(Simulator!$E19,Master_Table[P/N],0),COLUMN(Master_Table[V0]))</f>
        <v>10.340421103916475</v>
      </c>
      <c r="W7" s="217">
        <f t="shared" si="7"/>
        <v>16.125974405777789</v>
      </c>
      <c r="X7" s="109">
        <f>(F$1-25)*INDEX(Master_Table[],MATCH(Simulator!$E19,Master_Table[P/N],0),COLUMN(Master_Table[dV/dT (mV/C)]))/1000</f>
        <v>0</v>
      </c>
      <c r="Y7" s="109">
        <f t="shared" si="3"/>
        <v>16.125974405777789</v>
      </c>
      <c r="AA7" s="77">
        <f>INDEX(Master_Table[],MATCH(Simulator!E19,Master_Table[P/N],0),COLUMN(Master_Table[Typical Current]))</f>
        <v>350</v>
      </c>
      <c r="AB7" s="254">
        <f>INDEX(Master_Table[],MATCH(Simulator!$E19,Master_Table[P/N],0),COLUMN(Master_Table[CCT^4]))</f>
        <v>6.4156947867695485E-8</v>
      </c>
      <c r="AC7" s="254">
        <f>INDEX(Master_Table[],MATCH(Simulator!$E19,Master_Table[P/N],0),COLUMN(Master_Table[CCT^3]))</f>
        <v>-4.5361634125887272E-5</v>
      </c>
      <c r="AD7" s="254">
        <f>INDEX(Master_Table[],MATCH(Simulator!$E19,Master_Table[P/N],0),COLUMN(Master_Table[CCT^2]))</f>
        <v>1.3882185029054264E-3</v>
      </c>
      <c r="AE7" s="254">
        <f>INDEX(Master_Table[],MATCH(Simulator!$E19,Master_Table[P/N],0),COLUMN(Master_Table[CCT^1]))</f>
        <v>5.1060272500489212</v>
      </c>
      <c r="AF7" s="254">
        <f>INDEX(Master_Table[],MATCH(Simulator!$E19,Master_Table[P/N],0),COLUMN(Master_Table[CCT^0]))</f>
        <v>1716.8924668712493</v>
      </c>
      <c r="AG7" s="268">
        <f t="shared" si="4"/>
        <v>2622.0004802062658</v>
      </c>
      <c r="AH7" s="254">
        <f>INDEX(Master_Table[],MATCH(Simulator!$E19,Master_Table[P/N],0),COLUMN(Master_Table[CCT^42]))</f>
        <v>6.4156947867695485E-8</v>
      </c>
      <c r="AI7" s="254">
        <f>INDEX(Master_Table[],MATCH(Simulator!$E19,Master_Table[P/N],0),COLUMN(Master_Table[CCT^32]))</f>
        <v>-4.5361634125887272E-5</v>
      </c>
      <c r="AJ7" s="254">
        <f>INDEX(Master_Table[],MATCH(Simulator!$E19,Master_Table[P/N],0),COLUMN(Master_Table[CCT^22]))</f>
        <v>1.3882185029054264E-3</v>
      </c>
      <c r="AK7" s="254">
        <f>INDEX(Master_Table[],MATCH(Simulator!$E19,Master_Table[P/N],0),COLUMN(Master_Table[CCT^12]))</f>
        <v>5.1060272500489212</v>
      </c>
      <c r="AL7" s="254">
        <f>INDEX(Master_Table[],MATCH(Simulator!$E19,Master_Table[P/N],0),COLUMN(Master_Table[CCT^02]))</f>
        <v>1716.8924668712493</v>
      </c>
      <c r="AM7" s="268">
        <f t="shared" si="5"/>
        <v>0</v>
      </c>
      <c r="AN7" s="102">
        <f t="shared" si="6"/>
        <v>2622.0004802062658</v>
      </c>
    </row>
    <row r="8" spans="1:40" x14ac:dyDescent="0.25">
      <c r="A8" t="s">
        <v>101</v>
      </c>
      <c r="B8" s="77">
        <f>INDEX(Master_Table[],MATCH(Simulator!E20,Master_Table[P/N],0),COLUMN(Master_Table[Typical Lumens]))</f>
        <v>1242</v>
      </c>
      <c r="C8" s="4">
        <f>INDEX(Master_Table[],MATCH(Simulator!$E20,Master_Table[P/N],0),COLUMN(Master_Table[I^4]))</f>
        <v>7.0452527036719384E-12</v>
      </c>
      <c r="D8" s="4">
        <f>INDEX(Master_Table[],MATCH(Simulator!$E20,Master_Table[P/N],0),COLUMN(Master_Table[I^3]))</f>
        <v>-1.6567569708292668E-8</v>
      </c>
      <c r="E8" s="4">
        <f>INDEX(Master_Table[],MATCH(Simulator!$E20,Master_Table[P/N],0),COLUMN(Master_Table[I^2]))</f>
        <v>9.7826352007825322E-6</v>
      </c>
      <c r="F8" s="4">
        <f>INDEX(Master_Table[],MATCH(Simulator!$E20,Master_Table[P/N],0),COLUMN(Master_Table[I]))</f>
        <v>1.1347443057740242E-3</v>
      </c>
      <c r="G8" s="4">
        <f>INDEX(Master_Table[],MATCH(Simulator!$E20,Master_Table[P/N],0),COLUMN(Master_Table[I0]))</f>
        <v>8.8121211675696587E-3</v>
      </c>
      <c r="H8" s="281">
        <f t="shared" si="0"/>
        <v>0.67256513934162965</v>
      </c>
      <c r="I8" s="77">
        <f>INDEX(Master_Table[],MATCH(Simulator!$E20,Master_Table[P/N],0),COLUMN(Master_Table[T^4]))</f>
        <v>0</v>
      </c>
      <c r="J8" s="254">
        <f>INDEX(Master_Table[],MATCH(Simulator!$E20,Master_Table[P/N],0),COLUMN(Master_Table[T^3]))</f>
        <v>-2.4074887656866403E-8</v>
      </c>
      <c r="K8" s="254">
        <f>INDEX(Master_Table[],MATCH(Simulator!$E20,Master_Table[P/N],0),COLUMN(Master_Table[T^2]))</f>
        <v>-5.8938036295637434E-8</v>
      </c>
      <c r="L8" s="254">
        <f>INDEX(Master_Table[],MATCH(Simulator!$E20,Master_Table[P/N],0),COLUMN(Master_Table[T]))</f>
        <v>-9.9306787123950571E-4</v>
      </c>
      <c r="M8" s="254">
        <f>INDEX(Master_Table[],MATCH(Simulator!$E20,Master_Table[P/N],0),COLUMN(Master_Table[T0]))</f>
        <v>1.0252397031733109</v>
      </c>
      <c r="N8" s="75">
        <f t="shared" si="1"/>
        <v>1</v>
      </c>
      <c r="O8" s="75">
        <f t="shared" si="2"/>
        <v>835.32590306230406</v>
      </c>
      <c r="Q8" s="77">
        <f>INDEX(Master_Table[],MATCH(Simulator!E20,Master_Table[P/N],0),COLUMN(Master_Table[Typical Voltage]))</f>
        <v>33.799999999999997</v>
      </c>
      <c r="R8" s="254">
        <f>INDEX(Master_Table[],MATCH(Simulator!$E20,Master_Table[P/N],0),COLUMN(Master_Table[V^4]))</f>
        <v>-1.0263070615851712E-9</v>
      </c>
      <c r="S8" s="254">
        <f>INDEX(Master_Table[],MATCH(Simulator!$E20,Master_Table[P/N],0),COLUMN(Master_Table[V^3]))</f>
        <v>1.0987480245458821E-6</v>
      </c>
      <c r="T8" s="254">
        <f>INDEX(Master_Table[],MATCH(Simulator!$E20,Master_Table[P/N],0),COLUMN(Master_Table[V^2]))</f>
        <v>-4.3082205675544721E-4</v>
      </c>
      <c r="U8" s="254">
        <f>INDEX(Master_Table[],MATCH(Simulator!$E20,Master_Table[P/N],0),COLUMN(Master_Table[V]))</f>
        <v>8.2958507290343014E-2</v>
      </c>
      <c r="V8" s="254">
        <f>INDEX(Master_Table[],MATCH(Simulator!$E20,Master_Table[P/N],0),COLUMN(Master_Table[V0]))</f>
        <v>25.832423191430003</v>
      </c>
      <c r="W8" s="217">
        <f t="shared" si="7"/>
        <v>32.804597391012635</v>
      </c>
      <c r="X8" s="109">
        <f>(F$1-25)*INDEX(Master_Table[],MATCH(Simulator!$E20,Master_Table[P/N],0),COLUMN(Master_Table[dV/dT (mV/C)]))/1000</f>
        <v>0</v>
      </c>
      <c r="Y8" s="109">
        <f t="shared" si="3"/>
        <v>32.804597391012635</v>
      </c>
      <c r="AA8" s="77">
        <f>INDEX(Master_Table[],MATCH(Simulator!E20,Master_Table[P/N],0),COLUMN(Master_Table[Typical Current]))</f>
        <v>350</v>
      </c>
      <c r="AB8" s="254">
        <f>INDEX(Master_Table[],MATCH(Simulator!$E20,Master_Table[P/N],0),COLUMN(Master_Table[CCT^4]))</f>
        <v>6.4156947867695485E-8</v>
      </c>
      <c r="AC8" s="254">
        <f>INDEX(Master_Table[],MATCH(Simulator!$E20,Master_Table[P/N],0),COLUMN(Master_Table[CCT^3]))</f>
        <v>-4.5361634125887272E-5</v>
      </c>
      <c r="AD8" s="254">
        <f>INDEX(Master_Table[],MATCH(Simulator!$E20,Master_Table[P/N],0),COLUMN(Master_Table[CCT^2]))</f>
        <v>1.3882185029054264E-3</v>
      </c>
      <c r="AE8" s="254">
        <f>INDEX(Master_Table[],MATCH(Simulator!$E20,Master_Table[P/N],0),COLUMN(Master_Table[CCT^1]))</f>
        <v>5.1060272500489212</v>
      </c>
      <c r="AF8" s="254">
        <f>INDEX(Master_Table[],MATCH(Simulator!$E20,Master_Table[P/N],0),COLUMN(Master_Table[CCT^0]))</f>
        <v>1716.8924668712493</v>
      </c>
      <c r="AG8" s="268">
        <f t="shared" si="4"/>
        <v>2622.0004802062658</v>
      </c>
      <c r="AH8" s="254">
        <f>INDEX(Master_Table[],MATCH(Simulator!$E20,Master_Table[P/N],0),COLUMN(Master_Table[CCT^42]))</f>
        <v>6.4156947867695485E-8</v>
      </c>
      <c r="AI8" s="254">
        <f>INDEX(Master_Table[],MATCH(Simulator!$E20,Master_Table[P/N],0),COLUMN(Master_Table[CCT^32]))</f>
        <v>-4.5361634125887272E-5</v>
      </c>
      <c r="AJ8" s="254">
        <f>INDEX(Master_Table[],MATCH(Simulator!$E20,Master_Table[P/N],0),COLUMN(Master_Table[CCT^22]))</f>
        <v>1.3882185029054264E-3</v>
      </c>
      <c r="AK8" s="254">
        <f>INDEX(Master_Table[],MATCH(Simulator!$E20,Master_Table[P/N],0),COLUMN(Master_Table[CCT^12]))</f>
        <v>5.1060272500489212</v>
      </c>
      <c r="AL8" s="254">
        <f>INDEX(Master_Table[],MATCH(Simulator!$E20,Master_Table[P/N],0),COLUMN(Master_Table[CCT^02]))</f>
        <v>1716.8924668712493</v>
      </c>
      <c r="AM8" s="107">
        <f t="shared" si="5"/>
        <v>0</v>
      </c>
      <c r="AN8" s="102">
        <f t="shared" si="6"/>
        <v>2622.0004802062658</v>
      </c>
    </row>
    <row r="9" spans="1:40" x14ac:dyDescent="0.25">
      <c r="A9" t="s">
        <v>102</v>
      </c>
      <c r="B9" s="77">
        <f>INDEX(Master_Table[],MATCH(Simulator!E21,Master_Table[P/N],0),COLUMN(Master_Table[Typical Lumens]))</f>
        <v>2111</v>
      </c>
      <c r="C9" s="4">
        <f>INDEX(Master_Table[],MATCH(Simulator!$E21,Master_Table[P/N],0),COLUMN(Master_Table[I^4]))</f>
        <v>-2.421962082336712E-13</v>
      </c>
      <c r="D9" s="4">
        <f>INDEX(Master_Table[],MATCH(Simulator!$E21,Master_Table[P/N],0),COLUMN(Master_Table[I^3]))</f>
        <v>-7.4249550196922771E-10</v>
      </c>
      <c r="E9" s="4">
        <f>INDEX(Master_Table[],MATCH(Simulator!$E21,Master_Table[P/N],0),COLUMN(Master_Table[I^2]))</f>
        <v>1.2355486467678302E-6</v>
      </c>
      <c r="F9" s="4">
        <f>INDEX(Master_Table[],MATCH(Simulator!$E21,Master_Table[P/N],0),COLUMN(Master_Table[I]))</f>
        <v>1.2505421601140371E-3</v>
      </c>
      <c r="G9" s="4">
        <f>INDEX(Master_Table[],MATCH(Simulator!$E21,Master_Table[P/N],0),COLUMN(Master_Table[I0]))</f>
        <v>-3.2333080334528211E-3</v>
      </c>
      <c r="H9" s="78">
        <f t="shared" si="0"/>
        <v>0.37407645126136385</v>
      </c>
      <c r="I9" s="77">
        <f>INDEX(Master_Table[],MATCH(Simulator!$E21,Master_Table[P/N],0),COLUMN(Master_Table[T^4]))</f>
        <v>0</v>
      </c>
      <c r="J9" s="254">
        <f>INDEX(Master_Table[],MATCH(Simulator!$E21,Master_Table[P/N],0),COLUMN(Master_Table[T^3]))</f>
        <v>3.6387447940109519E-9</v>
      </c>
      <c r="K9" s="254">
        <f>INDEX(Master_Table[],MATCH(Simulator!$E21,Master_Table[P/N],0),COLUMN(Master_Table[T^2]))</f>
        <v>-4.3617292422584442E-6</v>
      </c>
      <c r="L9" s="254">
        <f>INDEX(Master_Table[],MATCH(Simulator!$E21,Master_Table[P/N],0),COLUMN(Master_Table[T]))</f>
        <v>-1.1442832912038402E-3</v>
      </c>
      <c r="M9" s="254">
        <f>INDEX(Master_Table[],MATCH(Simulator!$E21,Master_Table[P/N],0),COLUMN(Master_Table[T0]))</f>
        <v>1.0312763076691012</v>
      </c>
      <c r="N9" s="75">
        <f t="shared" si="1"/>
        <v>1</v>
      </c>
      <c r="O9" s="75">
        <f t="shared" si="2"/>
        <v>789.67538861273908</v>
      </c>
      <c r="Q9" s="77">
        <f>INDEX(Master_Table[],MATCH(Simulator!E21,Master_Table[P/N],0),COLUMN(Master_Table[Typical Voltage]))</f>
        <v>33.5</v>
      </c>
      <c r="R9" s="254">
        <f>INDEX(Master_Table[],MATCH(Simulator!$E21,Master_Table[P/N],0),COLUMN(Master_Table[V^4]))</f>
        <v>-1.2470292830594369E-10</v>
      </c>
      <c r="S9" s="254">
        <f>INDEX(Master_Table[],MATCH(Simulator!$E21,Master_Table[P/N],0),COLUMN(Master_Table[V^3]))</f>
        <v>2.2734000912019639E-7</v>
      </c>
      <c r="T9" s="254">
        <f>INDEX(Master_Table[],MATCH(Simulator!$E21,Master_Table[P/N],0),COLUMN(Master_Table[V^2]))</f>
        <v>-1.5056316798366467E-4</v>
      </c>
      <c r="U9" s="254">
        <f>INDEX(Master_Table[],MATCH(Simulator!$E21,Master_Table[P/N],0),COLUMN(Master_Table[V]))</f>
        <v>4.7938591121228488E-2</v>
      </c>
      <c r="V9" s="254">
        <f>INDEX(Master_Table[],MATCH(Simulator!$E21,Master_Table[P/N],0),COLUMN(Master_Table[V0]))</f>
        <v>26.000184370165666</v>
      </c>
      <c r="W9" s="217">
        <f t="shared" si="7"/>
        <v>31.639700980301722</v>
      </c>
      <c r="X9" s="109">
        <f>(F$1-25)*INDEX(Master_Table[],MATCH(Simulator!$E21,Master_Table[P/N],0),COLUMN(Master_Table[dV/dT (mV/C)]))/1000</f>
        <v>0</v>
      </c>
      <c r="Y9" s="109">
        <f t="shared" si="3"/>
        <v>31.639700980301722</v>
      </c>
      <c r="AA9" s="77">
        <f>INDEX(Master_Table[],MATCH(Simulator!E21,Master_Table[P/N],0),COLUMN(Master_Table[Typical Current]))</f>
        <v>600</v>
      </c>
      <c r="AB9" s="254">
        <f>INDEX(Master_Table[],MATCH(Simulator!$E21,Master_Table[P/N],0),COLUMN(Master_Table[CCT^4]))</f>
        <v>-3.7005321210428487E-9</v>
      </c>
      <c r="AC9" s="254">
        <f>INDEX(Master_Table[],MATCH(Simulator!$E21,Master_Table[P/N],0),COLUMN(Master_Table[CCT^3]))</f>
        <v>1.0114019313581315E-5</v>
      </c>
      <c r="AD9" s="254">
        <f>INDEX(Master_Table[],MATCH(Simulator!$E21,Master_Table[P/N],0),COLUMN(Master_Table[CCT^2]))</f>
        <v>-1.0418289531098003E-2</v>
      </c>
      <c r="AE9" s="254">
        <f>INDEX(Master_Table[],MATCH(Simulator!$E21,Master_Table[P/N],0),COLUMN(Master_Table[CCT^1]))</f>
        <v>5.0771114962595325</v>
      </c>
      <c r="AF9" s="254">
        <f>INDEX(Master_Table[],MATCH(Simulator!$E21,Master_Table[P/N],0),COLUMN(Master_Table[CCT^0]))</f>
        <v>1696.8931479305706</v>
      </c>
      <c r="AG9" s="268">
        <f t="shared" si="4"/>
        <v>2458.6042744787128</v>
      </c>
      <c r="AH9" s="254">
        <f>INDEX(Master_Table[],MATCH(Simulator!$E21,Master_Table[P/N],0),COLUMN(Master_Table[CCT^42]))</f>
        <v>-3.7005321210428487E-9</v>
      </c>
      <c r="AI9" s="254">
        <f>INDEX(Master_Table[],MATCH(Simulator!$E21,Master_Table[P/N],0),COLUMN(Master_Table[CCT^32]))</f>
        <v>1.0114019313581315E-5</v>
      </c>
      <c r="AJ9" s="254">
        <f>INDEX(Master_Table[],MATCH(Simulator!$E21,Master_Table[P/N],0),COLUMN(Master_Table[CCT^22]))</f>
        <v>-1.0418289531098003E-2</v>
      </c>
      <c r="AK9" s="254">
        <f>INDEX(Master_Table[],MATCH(Simulator!$E21,Master_Table[P/N],0),COLUMN(Master_Table[CCT^12]))</f>
        <v>5.0771114962595325</v>
      </c>
      <c r="AL9" s="254">
        <f>INDEX(Master_Table[],MATCH(Simulator!$E21,Master_Table[P/N],0),COLUMN(Master_Table[CCT^02]))</f>
        <v>1696.8931479305706</v>
      </c>
      <c r="AM9" s="107">
        <f t="shared" si="5"/>
        <v>0</v>
      </c>
      <c r="AN9" s="102">
        <f t="shared" si="6"/>
        <v>2458.6042744787128</v>
      </c>
    </row>
    <row r="10" spans="1:40" x14ac:dyDescent="0.25">
      <c r="A10" t="s">
        <v>103</v>
      </c>
      <c r="B10" s="77">
        <f>INDEX(Master_Table[],MATCH(Simulator!E22,Master_Table[P/N],0),COLUMN(Master_Table[Typical Lumens]))</f>
        <v>3401</v>
      </c>
      <c r="C10" s="4">
        <f>INDEX(Master_Table[],MATCH(Simulator!$E22,Master_Table[P/N],0),COLUMN(Master_Table[I^4]))</f>
        <v>-1.9231261965129578E-14</v>
      </c>
      <c r="D10" s="4">
        <f>INDEX(Master_Table[],MATCH(Simulator!$E22,Master_Table[P/N],0),COLUMN(Master_Table[I^3]))</f>
        <v>-3.6051752471271521E-10</v>
      </c>
      <c r="E10" s="4">
        <f>INDEX(Master_Table[],MATCH(Simulator!$E22,Master_Table[P/N],0),COLUMN(Master_Table[I^2]))</f>
        <v>7.0901461413326134E-7</v>
      </c>
      <c r="F10" s="4">
        <f>INDEX(Master_Table[],MATCH(Simulator!$E22,Master_Table[P/N],0),COLUMN(Master_Table[I]))</f>
        <v>7.2224127080209612E-4</v>
      </c>
      <c r="G10" s="4">
        <f>INDEX(Master_Table[],MATCH(Simulator!$E22,Master_Table[P/N],0),COLUMN(Master_Table[I0]))</f>
        <v>-1.1997399551094169E-3</v>
      </c>
      <c r="H10" s="78">
        <f t="shared" si="0"/>
        <v>0.217965782688056</v>
      </c>
      <c r="I10" s="77">
        <f>INDEX(Master_Table[],MATCH(Simulator!$E22,Master_Table[P/N],0),COLUMN(Master_Table[T^4]))</f>
        <v>0</v>
      </c>
      <c r="J10" s="254">
        <f>INDEX(Master_Table[],MATCH(Simulator!$E22,Master_Table[P/N],0),COLUMN(Master_Table[T^3]))</f>
        <v>1.0278364914575743E-9</v>
      </c>
      <c r="K10" s="254">
        <f>INDEX(Master_Table[],MATCH(Simulator!$E22,Master_Table[P/N],0),COLUMN(Master_Table[T^2]))</f>
        <v>-4.2139290615143064E-6</v>
      </c>
      <c r="L10" s="254">
        <f>INDEX(Master_Table[],MATCH(Simulator!$E22,Master_Table[P/N],0),COLUMN(Master_Table[T]))</f>
        <v>-9.6864313722270525E-4</v>
      </c>
      <c r="M10" s="254">
        <f>INDEX(Master_Table[],MATCH(Simulator!$E22,Master_Table[P/N],0),COLUMN(Master_Table[T0]))</f>
        <v>1.026833724148835</v>
      </c>
      <c r="N10" s="75">
        <f t="shared" si="1"/>
        <v>1</v>
      </c>
      <c r="O10" s="75">
        <f t="shared" si="2"/>
        <v>741.30162692207841</v>
      </c>
      <c r="Q10" s="77">
        <f>INDEX(Master_Table[],MATCH(Simulator!E22,Master_Table[P/N],0),COLUMN(Master_Table[Typical Voltage]))</f>
        <v>34.1</v>
      </c>
      <c r="R10" s="254">
        <f>INDEX(Master_Table[],MATCH(Simulator!$E22,Master_Table[P/N],0),COLUMN(Master_Table[V^4]))</f>
        <v>-3.5422555345437313E-11</v>
      </c>
      <c r="S10" s="254">
        <f>INDEX(Master_Table[],MATCH(Simulator!$E22,Master_Table[P/N],0),COLUMN(Master_Table[V^3]))</f>
        <v>9.4330500076400081E-8</v>
      </c>
      <c r="T10" s="254">
        <f>INDEX(Master_Table[],MATCH(Simulator!$E22,Master_Table[P/N],0),COLUMN(Master_Table[V^2]))</f>
        <v>-9.006243448252024E-5</v>
      </c>
      <c r="U10" s="254">
        <f>INDEX(Master_Table[],MATCH(Simulator!$E22,Master_Table[P/N],0),COLUMN(Master_Table[V]))</f>
        <v>3.9711545730505921E-2</v>
      </c>
      <c r="V10" s="254">
        <f>INDEX(Master_Table[],MATCH(Simulator!$E22,Master_Table[P/N],0),COLUMN(Master_Table[V0]))</f>
        <v>25.6416864529936</v>
      </c>
      <c r="W10" s="217">
        <f t="shared" si="7"/>
        <v>31.276215437338202</v>
      </c>
      <c r="X10" s="109">
        <f>(F$1-25)*INDEX(Master_Table[],MATCH(Simulator!$E22,Master_Table[P/N],0),COLUMN(Master_Table[dV/dT (mV/C)]))/1000</f>
        <v>0</v>
      </c>
      <c r="Y10" s="109">
        <f t="shared" si="3"/>
        <v>31.276215437338202</v>
      </c>
      <c r="AA10" s="77">
        <f>INDEX(Master_Table[],MATCH(Simulator!E22,Master_Table[P/N],0),COLUMN(Master_Table[Typical Current]))</f>
        <v>950</v>
      </c>
      <c r="AB10" s="254">
        <f>INDEX(Master_Table[],MATCH(Simulator!$E22,Master_Table[P/N],0),COLUMN(Master_Table[CCT^4]))</f>
        <v>2.4011426098450005E-9</v>
      </c>
      <c r="AC10" s="254">
        <f>INDEX(Master_Table[],MATCH(Simulator!$E22,Master_Table[P/N],0),COLUMN(Master_Table[CCT^3]))</f>
        <v>-4.8270090180670596E-6</v>
      </c>
      <c r="AD10" s="254">
        <f>INDEX(Master_Table[],MATCH(Simulator!$E22,Master_Table[P/N],0),COLUMN(Master_Table[CCT^2]))</f>
        <v>1.9416149062857983E-3</v>
      </c>
      <c r="AE10" s="254">
        <f>INDEX(Master_Table[],MATCH(Simulator!$E22,Master_Table[P/N],0),COLUMN(Master_Table[CCT^1]))</f>
        <v>1.437673900589306</v>
      </c>
      <c r="AF10" s="254">
        <f>INDEX(Master_Table[],MATCH(Simulator!$E22,Master_Table[P/N],0),COLUMN(Master_Table[CCT^0]))</f>
        <v>1748.9599070558093</v>
      </c>
      <c r="AG10" s="268">
        <f t="shared" si="4"/>
        <v>2163.6867612584074</v>
      </c>
      <c r="AH10" s="254">
        <f>INDEX(Master_Table[],MATCH(Simulator!$E22,Master_Table[P/N],0),COLUMN(Master_Table[CCT^42]))</f>
        <v>2.4011426098450005E-9</v>
      </c>
      <c r="AI10" s="254">
        <f>INDEX(Master_Table[],MATCH(Simulator!$E22,Master_Table[P/N],0),COLUMN(Master_Table[CCT^32]))</f>
        <v>-4.8270090180670596E-6</v>
      </c>
      <c r="AJ10" s="254">
        <f>INDEX(Master_Table[],MATCH(Simulator!$E22,Master_Table[P/N],0),COLUMN(Master_Table[CCT^22]))</f>
        <v>1.9416149062857983E-3</v>
      </c>
      <c r="AK10" s="254">
        <f>INDEX(Master_Table[],MATCH(Simulator!$E22,Master_Table[P/N],0),COLUMN(Master_Table[CCT^12]))</f>
        <v>1.437673900589306</v>
      </c>
      <c r="AL10" s="254">
        <f>INDEX(Master_Table[],MATCH(Simulator!$E22,Master_Table[P/N],0),COLUMN(Master_Table[CCT^02]))</f>
        <v>1748.9599070558093</v>
      </c>
      <c r="AM10" s="107">
        <f t="shared" si="5"/>
        <v>0</v>
      </c>
      <c r="AN10" s="102">
        <f t="shared" si="6"/>
        <v>2163.6867612584074</v>
      </c>
    </row>
    <row r="11" spans="1:40" x14ac:dyDescent="0.25">
      <c r="A11" t="s">
        <v>157</v>
      </c>
      <c r="B11" s="77">
        <f>INDEX(Master_Table[],MATCH(Simulator!E23,Master_Table[P/N],0),COLUMN(Master_Table[Typical Lumens]))</f>
        <v>5019</v>
      </c>
      <c r="C11" s="4">
        <f>INDEX(Master_Table[],MATCH(Simulator!$E23,Master_Table[P/N],0),COLUMN(Master_Table[I^4]))</f>
        <v>1.2102993570755097E-15</v>
      </c>
      <c r="D11" s="4">
        <f>INDEX(Master_Table[],MATCH(Simulator!$E23,Master_Table[P/N],0),COLUMN(Master_Table[I^3]))</f>
        <v>-1.4220514602106273E-10</v>
      </c>
      <c r="E11" s="4">
        <f>INDEX(Master_Table[],MATCH(Simulator!$E23,Master_Table[P/N],0),COLUMN(Master_Table[I^2]))</f>
        <v>3.4052575572219585E-7</v>
      </c>
      <c r="F11" s="4">
        <f>INDEX(Master_Table[],MATCH(Simulator!$E23,Master_Table[P/N],0),COLUMN(Master_Table[I]))</f>
        <v>5.6978048912736208E-4</v>
      </c>
      <c r="G11" s="4">
        <f>INDEX(Master_Table[],MATCH(Simulator!$E23,Master_Table[P/N],0),COLUMN(Master_Table[I0]))</f>
        <v>2.2558660031420747E-4</v>
      </c>
      <c r="H11" s="78">
        <f>(C11*D$1^4+D11*D$1^3+E11*D$1^2+F11*D$1^1+G11)</f>
        <v>0.16173634094007647</v>
      </c>
      <c r="I11" s="77">
        <f>INDEX(Master_Table[],MATCH(Simulator!$E23,Master_Table[P/N],0),COLUMN(Master_Table[T^4]))</f>
        <v>0</v>
      </c>
      <c r="J11" s="254">
        <f>INDEX(Master_Table[],MATCH(Simulator!$E23,Master_Table[P/N],0),COLUMN(Master_Table[T^3]))</f>
        <v>1.0278364914575743E-9</v>
      </c>
      <c r="K11" s="254">
        <f>INDEX(Master_Table[],MATCH(Simulator!$E23,Master_Table[P/N],0),COLUMN(Master_Table[T^2]))</f>
        <v>-4.2139290615143064E-6</v>
      </c>
      <c r="L11" s="254">
        <f>INDEX(Master_Table[],MATCH(Simulator!$E23,Master_Table[P/N],0),COLUMN(Master_Table[T]))</f>
        <v>-9.6864313722270525E-4</v>
      </c>
      <c r="M11" s="254">
        <f>INDEX(Master_Table[],MATCH(Simulator!$E23,Master_Table[P/N],0),COLUMN(Master_Table[T0]))</f>
        <v>1.026833724148835</v>
      </c>
      <c r="N11" s="75">
        <f>(I11*F$1^4+J11*F$1^3+K11*F$1^2+L11*F$1^1+M11)</f>
        <v>1</v>
      </c>
      <c r="O11" s="75">
        <f t="shared" si="2"/>
        <v>811.75469517824376</v>
      </c>
      <c r="Q11" s="77">
        <f>INDEX(Master_Table[],MATCH(Simulator!E23,Master_Table[P/N],0),COLUMN(Master_Table[Typical Voltage]))</f>
        <v>33.799999999999997</v>
      </c>
      <c r="R11" s="254">
        <f>INDEX(Master_Table[],MATCH(Simulator!$E23,Master_Table[P/N],0),COLUMN(Master_Table[V^4]))</f>
        <v>-1.3920861893701241E-11</v>
      </c>
      <c r="S11" s="254">
        <f>INDEX(Master_Table[],MATCH(Simulator!$E23,Master_Table[P/N],0),COLUMN(Master_Table[V^3]))</f>
        <v>4.8240243530648746E-8</v>
      </c>
      <c r="T11" s="254">
        <f>INDEX(Master_Table[],MATCH(Simulator!$E23,Master_Table[P/N],0),COLUMN(Master_Table[V^2]))</f>
        <v>-5.9077657744319273E-5</v>
      </c>
      <c r="U11" s="254">
        <f>INDEX(Master_Table[],MATCH(Simulator!$E23,Master_Table[P/N],0),COLUMN(Master_Table[V]))</f>
        <v>3.2199401054441378E-2</v>
      </c>
      <c r="V11" s="254">
        <f>INDEX(Master_Table[],MATCH(Simulator!$E23,Master_Table[P/N],0),COLUMN(Master_Table[V0]))</f>
        <v>26.279697704976499</v>
      </c>
      <c r="W11" s="217">
        <f t="shared" si="7"/>
        <v>31.336569797961005</v>
      </c>
      <c r="X11" s="109">
        <f>(F$1-25)*INDEX(Master_Table[],MATCH(Simulator!$E23,Master_Table[P/N],0),COLUMN(Master_Table[dV/dT (mV/C)]))/1000</f>
        <v>0</v>
      </c>
      <c r="Y11" s="109">
        <f>W11+X11</f>
        <v>31.336569797961005</v>
      </c>
      <c r="AA11" s="77">
        <f>INDEX(Master_Table[],MATCH(Simulator!E23,Master_Table[P/N],0),COLUMN(Master_Table[Typical Current]))</f>
        <v>1290</v>
      </c>
      <c r="AB11" s="254">
        <f>INDEX(Master_Table[],MATCH(Simulator!$E23,Master_Table[P/N],0),COLUMN(Master_Table[CCT^4]))</f>
        <v>6.4154109516047754E-10</v>
      </c>
      <c r="AC11" s="254">
        <f>INDEX(Master_Table[],MATCH(Simulator!$E23,Master_Table[P/N],0),COLUMN(Master_Table[CCT^3]))</f>
        <v>-1.6480977820685622E-6</v>
      </c>
      <c r="AD11" s="254">
        <f>INDEX(Master_Table[],MATCH(Simulator!$E23,Master_Table[P/N],0),COLUMN(Master_Table[CCT^2]))</f>
        <v>6.6508788725944091E-4</v>
      </c>
      <c r="AE11" s="254">
        <f>INDEX(Master_Table[],MATCH(Simulator!$E23,Master_Table[P/N],0),COLUMN(Master_Table[CCT^1]))</f>
        <v>1.2234078088870646</v>
      </c>
      <c r="AF11" s="254">
        <f>INDEX(Master_Table[],MATCH(Simulator!$E23,Master_Table[P/N],0),COLUMN(Master_Table[CCT^0]))</f>
        <v>1767.5067842044105</v>
      </c>
      <c r="AG11" s="268">
        <f t="shared" si="4"/>
        <v>2091.6812214380411</v>
      </c>
      <c r="AH11" s="254">
        <f>INDEX(Master_Table[],MATCH(Simulator!$E23,Master_Table[P/N],0),COLUMN(Master_Table[CCT^42]))</f>
        <v>6.4154109516047754E-10</v>
      </c>
      <c r="AI11" s="254">
        <f>INDEX(Master_Table[],MATCH(Simulator!$E23,Master_Table[P/N],0),COLUMN(Master_Table[CCT^32]))</f>
        <v>-1.6480977820685622E-6</v>
      </c>
      <c r="AJ11" s="254">
        <f>INDEX(Master_Table[],MATCH(Simulator!$E23,Master_Table[P/N],0),COLUMN(Master_Table[CCT^22]))</f>
        <v>6.6508788725944091E-4</v>
      </c>
      <c r="AK11" s="254">
        <f>INDEX(Master_Table[],MATCH(Simulator!$E23,Master_Table[P/N],0),COLUMN(Master_Table[CCT^12]))</f>
        <v>1.2234078088870646</v>
      </c>
      <c r="AL11" s="254">
        <f>INDEX(Master_Table[],MATCH(Simulator!$E23,Master_Table[P/N],0),COLUMN(Master_Table[CCT^02]))</f>
        <v>1767.5067842044105</v>
      </c>
      <c r="AM11" s="107">
        <f t="shared" si="5"/>
        <v>0</v>
      </c>
      <c r="AN11" s="102">
        <f t="shared" si="6"/>
        <v>2091.6812214380411</v>
      </c>
    </row>
    <row r="12" spans="1:40" ht="16.5" thickBot="1" x14ac:dyDescent="0.3">
      <c r="A12" t="s">
        <v>158</v>
      </c>
      <c r="B12" s="79">
        <f>INDEX(Master_Table[],MATCH(Simulator!E24,Master_Table[P/N],0),COLUMN(Master_Table[Typical Lumens]))</f>
        <v>12836</v>
      </c>
      <c r="C12" s="192">
        <f>INDEX(Master_Table[],MATCH(Simulator!$E24,Master_Table[P/N],0),COLUMN(Master_Table[I^4]))</f>
        <v>-3.600934239272689E-16</v>
      </c>
      <c r="D12" s="192">
        <f>INDEX(Master_Table[],MATCH(Simulator!$E24,Master_Table[P/N],0),COLUMN(Master_Table[I^3]))</f>
        <v>-2.1787507029213258E-11</v>
      </c>
      <c r="E12" s="192">
        <f>INDEX(Master_Table[],MATCH(Simulator!$E24,Master_Table[P/N],0),COLUMN(Master_Table[I^2]))</f>
        <v>9.1071748257993089E-8</v>
      </c>
      <c r="F12" s="192">
        <f>INDEX(Master_Table[],MATCH(Simulator!$E24,Master_Table[P/N],0),COLUMN(Master_Table[I]))</f>
        <v>3.3673923240876266E-4</v>
      </c>
      <c r="G12" s="192">
        <f>INDEX(Master_Table[],MATCH(Simulator!$E24,Master_Table[P/N],0),COLUMN(Master_Table[I0]))</f>
        <v>-5.2500142594142599E-4</v>
      </c>
      <c r="H12" s="80">
        <f>(C12*D$1^4+D12*D$1^3+E12*D$1^2+F12*D$1^1+G12)</f>
        <v>8.9009954530105115E-2</v>
      </c>
      <c r="I12" s="79">
        <f>INDEX(Master_Table[],MATCH(Simulator!$E24,Master_Table[P/N],0),COLUMN(Master_Table[T^4]))</f>
        <v>0</v>
      </c>
      <c r="J12" s="255">
        <f>INDEX(Master_Table[],MATCH(Simulator!$E24,Master_Table[P/N],0),COLUMN(Master_Table[T^3]))</f>
        <v>1.0278364914575743E-9</v>
      </c>
      <c r="K12" s="255">
        <f>INDEX(Master_Table[],MATCH(Simulator!$E24,Master_Table[P/N],0),COLUMN(Master_Table[T^2]))</f>
        <v>-4.2139290615143064E-6</v>
      </c>
      <c r="L12" s="255">
        <f>INDEX(Master_Table[],MATCH(Simulator!$E24,Master_Table[P/N],0),COLUMN(Master_Table[T]))</f>
        <v>-9.6864313722270525E-4</v>
      </c>
      <c r="M12" s="255">
        <f>INDEX(Master_Table[],MATCH(Simulator!$E24,Master_Table[P/N],0),COLUMN(Master_Table[T0]))</f>
        <v>1.026833724148835</v>
      </c>
      <c r="N12" s="76">
        <f>(I12*F$1^4+J12*F$1^3+K12*F$1^2+L12*F$1^1+M12)</f>
        <v>1</v>
      </c>
      <c r="O12" s="76">
        <f t="shared" si="2"/>
        <v>1142.5317763484293</v>
      </c>
      <c r="Q12" s="79">
        <f>INDEX(Master_Table[],MATCH(Simulator!E24,Master_Table[P/N],0),COLUMN(Master_Table[Typical Voltage]))</f>
        <v>45.6</v>
      </c>
      <c r="R12" s="255">
        <f>INDEX(Master_Table[],MATCH(Simulator!$E24,Master_Table[P/N],0),COLUMN(Master_Table[V^4]))</f>
        <v>-1.815579229696846E-12</v>
      </c>
      <c r="S12" s="255">
        <f>INDEX(Master_Table[],MATCH(Simulator!$E24,Master_Table[P/N],0),COLUMN(Master_Table[V^3]))</f>
        <v>1.1117377394504817E-8</v>
      </c>
      <c r="T12" s="255">
        <f>INDEX(Master_Table[],MATCH(Simulator!$E24,Master_Table[P/N],0),COLUMN(Master_Table[V^2]))</f>
        <v>-2.3776258792391319E-5</v>
      </c>
      <c r="U12" s="255">
        <f>INDEX(Master_Table[],MATCH(Simulator!$E24,Master_Table[P/N],0),COLUMN(Master_Table[V]))</f>
        <v>2.2236280990342517E-2</v>
      </c>
      <c r="V12" s="255">
        <f>INDEX(Master_Table[],MATCH(Simulator!$E24,Master_Table[P/N],0),COLUMN(Master_Table[V0]))</f>
        <v>36.649246057874421</v>
      </c>
      <c r="W12" s="217">
        <f t="shared" si="7"/>
        <v>40.888917046358728</v>
      </c>
      <c r="X12" s="109">
        <f>(F$1-25)*INDEX(Master_Table[],MATCH(Simulator!$E24,Master_Table[P/N],0),COLUMN(Master_Table[dV/dT (mV/C)]))/1000</f>
        <v>0</v>
      </c>
      <c r="Y12" s="110">
        <f>W12+X12</f>
        <v>40.888917046358728</v>
      </c>
      <c r="AA12" s="79">
        <f>INDEX(Master_Table[],MATCH(Simulator!E24,Master_Table[P/N],0),COLUMN(Master_Table[Typical Current]))</f>
        <v>2350</v>
      </c>
      <c r="AB12" s="255">
        <f>INDEX(Master_Table[],MATCH(Simulator!$E24,Master_Table[P/N],0),COLUMN(Master_Table[CCT^4]))</f>
        <v>3.077721396057823E-11</v>
      </c>
      <c r="AC12" s="255">
        <f>INDEX(Master_Table[],MATCH(Simulator!$E24,Master_Table[P/N],0),COLUMN(Master_Table[CCT^3]))</f>
        <v>-9.3189303083681219E-8</v>
      </c>
      <c r="AD12" s="255">
        <f>INDEX(Master_Table[],MATCH(Simulator!$E24,Master_Table[P/N],0),COLUMN(Master_Table[CCT^2]))</f>
        <v>-1.9020206131740151E-4</v>
      </c>
      <c r="AE12" s="255">
        <f>INDEX(Master_Table[],MATCH(Simulator!$E24,Master_Table[P/N],0),COLUMN(Master_Table[CCT^1]))</f>
        <v>0.96517599700477208</v>
      </c>
      <c r="AF12" s="255">
        <f>INDEX(Master_Table[],MATCH(Simulator!$E24,Master_Table[P/N],0),COLUMN(Master_Table[CCT^0]))</f>
        <v>1746.5277793594548</v>
      </c>
      <c r="AG12" s="269">
        <f t="shared" si="4"/>
        <v>1974.5982904096613</v>
      </c>
      <c r="AH12" s="255">
        <f>INDEX(Master_Table[],MATCH(Simulator!$E24,Master_Table[P/N],0),COLUMN(Master_Table[CCT^42]))</f>
        <v>3.077721396057823E-11</v>
      </c>
      <c r="AI12" s="255">
        <f>INDEX(Master_Table[],MATCH(Simulator!$E24,Master_Table[P/N],0),COLUMN(Master_Table[CCT^32]))</f>
        <v>-9.3189303083681219E-8</v>
      </c>
      <c r="AJ12" s="255">
        <f>INDEX(Master_Table[],MATCH(Simulator!$E24,Master_Table[P/N],0),COLUMN(Master_Table[CCT^22]))</f>
        <v>-1.9020206131740151E-4</v>
      </c>
      <c r="AK12" s="255">
        <f>INDEX(Master_Table[],MATCH(Simulator!$E24,Master_Table[P/N],0),COLUMN(Master_Table[CCT^12]))</f>
        <v>0.96517599700477208</v>
      </c>
      <c r="AL12" s="255">
        <f>INDEX(Master_Table[],MATCH(Simulator!$E24,Master_Table[P/N],0),COLUMN(Master_Table[CCT^02]))</f>
        <v>1746.5277793594548</v>
      </c>
      <c r="AM12" s="108">
        <f t="shared" si="5"/>
        <v>0</v>
      </c>
      <c r="AN12" s="222">
        <f t="shared" si="6"/>
        <v>1974.5982904096613</v>
      </c>
    </row>
    <row r="13" spans="1:40" x14ac:dyDescent="0.25">
      <c r="A13" t="s">
        <v>166</v>
      </c>
      <c r="B13" s="101">
        <f>INDEX(Master_Table[],MATCH(Simulator!E27,Master_Table[P/N],0),COLUMN(Master_Table[Typical Lumens]))</f>
        <v>595.65</v>
      </c>
      <c r="C13" s="106">
        <f>INDEX(Master_Table[],MATCH(Simulator!$E27,Master_Table[P/N],0),COLUMN(Master_Table[I^4]))</f>
        <v>2.5527298190086784E-12</v>
      </c>
      <c r="D13" s="106">
        <f>INDEX(Master_Table[],MATCH(Simulator!$E27,Master_Table[P/N],0),COLUMN(Master_Table[I^3]))</f>
        <v>-1.1222752115618928E-8</v>
      </c>
      <c r="E13" s="106">
        <f>INDEX(Master_Table[],MATCH(Simulator!$E27,Master_Table[P/N],0),COLUMN(Master_Table[I^2]))</f>
        <v>7.7450141538800007E-6</v>
      </c>
      <c r="F13" s="106">
        <f>INDEX(Master_Table[],MATCH(Simulator!$E27,Master_Table[P/N],0),COLUMN(Master_Table[I]))</f>
        <v>1.4039619916702939E-3</v>
      </c>
      <c r="G13" s="106">
        <f>INDEX(Master_Table[],MATCH(Simulator!$E27,Master_Table[P/N],0),COLUMN(Master_Table[I0]))</f>
        <v>2.7144267987603832E-3</v>
      </c>
      <c r="H13" s="218">
        <f>(C13*D$1^4+D13*D$1^3+E13*D$1^2+F13*D$1^1+G13)</f>
        <v>0.67238440838279079</v>
      </c>
      <c r="I13" s="101">
        <f>INDEX(Master_Table[],MATCH(Simulator!$E27,Master_Table[P/N],0),COLUMN(Master_Table[T^4]))</f>
        <v>0</v>
      </c>
      <c r="J13" s="191">
        <f>INDEX(Master_Table[],MATCH(Simulator!$E27,Master_Table[P/N],0),COLUMN(Master_Table[T^3]))</f>
        <v>-2.3576793399445561E-8</v>
      </c>
      <c r="K13" s="191">
        <f>INDEX(Master_Table[],MATCH(Simulator!$E27,Master_Table[P/N],0),COLUMN(Master_Table[T^2]))</f>
        <v>2.2657074525315222E-8</v>
      </c>
      <c r="L13" s="191">
        <f>INDEX(Master_Table[],MATCH(Simulator!$E27,Master_Table[P/N],0),COLUMN(Master_Table[T]))</f>
        <v>-1.0052927172015966E-3</v>
      </c>
      <c r="M13" s="191">
        <f>INDEX(Master_Table[],MATCH(Simulator!$E27,Master_Table[P/N],0),COLUMN(Master_Table[T0]))</f>
        <v>1.0254865446553281</v>
      </c>
      <c r="N13" s="97">
        <f>(I13*F$1^4+J13*F$1^3+K13*F$1^2+L13*F$1^1+M13)</f>
        <v>1.0000000000000002</v>
      </c>
      <c r="O13" s="97">
        <f t="shared" si="2"/>
        <v>400.50577285320941</v>
      </c>
      <c r="Q13" s="101">
        <f>INDEX(Master_Table[],MATCH(Simulator!E27,Master_Table[P/N],0),COLUMN(Master_Table[Typical Voltage]))</f>
        <v>17</v>
      </c>
      <c r="R13" s="191">
        <f>INDEX(Master_Table[],MATCH(Simulator!$E27,Master_Table[P/N],0),COLUMN(Master_Table[V^4]))</f>
        <v>-8.376945271258572E-10</v>
      </c>
      <c r="S13" s="191">
        <f>INDEX(Master_Table[],MATCH(Simulator!$E27,Master_Table[P/N],0),COLUMN(Master_Table[V^3]))</f>
        <v>8.9384798476104261E-7</v>
      </c>
      <c r="T13" s="191">
        <f>INDEX(Master_Table[],MATCH(Simulator!$E27,Master_Table[P/N],0),COLUMN(Master_Table[V^2]))</f>
        <v>-3.4918548154403849E-4</v>
      </c>
      <c r="U13" s="191">
        <f>INDEX(Master_Table[],MATCH(Simulator!$E27,Master_Table[P/N],0),COLUMN(Master_Table[V]))</f>
        <v>6.7662061532231255E-2</v>
      </c>
      <c r="V13" s="191">
        <f>INDEX(Master_Table[],MATCH(Simulator!$E27,Master_Table[P/N],0),COLUMN(Master_Table[V0]))</f>
        <v>10.340421103916475</v>
      </c>
      <c r="W13" s="219">
        <f>R13*D$1*D$1*D$1*D$1+S13*D$1*D$1*D$1+T13*D$1*D$1+U13*D$1+V13</f>
        <v>16.125974405777789</v>
      </c>
      <c r="X13" s="114">
        <f>(F$1-25)*INDEX(Master_Table[],MATCH(Simulator!$E27,Master_Table[P/N],0),COLUMN(Master_Table[dV/dT (mV/C)]))/1000</f>
        <v>0</v>
      </c>
      <c r="Y13" s="114">
        <f>W13+X13</f>
        <v>16.125974405777789</v>
      </c>
      <c r="AA13" s="101">
        <f>INDEX(Master_Table[],MATCH(Simulator!E27,Master_Table[P/N],0),COLUMN(Master_Table[Typical Current]))</f>
        <v>350</v>
      </c>
      <c r="AB13" s="191">
        <f>INDEX(Master_Table[],MATCH(Simulator!$E27,Master_Table[P/N],0),COLUMN(Master_Table[CCT^4]))</f>
        <v>6.4156947867695485E-8</v>
      </c>
      <c r="AC13" s="191">
        <f>INDEX(Master_Table[],MATCH(Simulator!$E27,Master_Table[P/N],0),COLUMN(Master_Table[CCT^3]))</f>
        <v>-4.5361634125887272E-5</v>
      </c>
      <c r="AD13" s="191">
        <f>INDEX(Master_Table[],MATCH(Simulator!$E27,Master_Table[P/N],0),COLUMN(Master_Table[CCT^2]))</f>
        <v>1.3882185029054264E-3</v>
      </c>
      <c r="AE13" s="191">
        <f>INDEX(Master_Table[],MATCH(Simulator!$E27,Master_Table[P/N],0),COLUMN(Master_Table[CCT^1]))</f>
        <v>5.1060272500489212</v>
      </c>
      <c r="AF13" s="191">
        <f>INDEX(Master_Table[],MATCH(Simulator!$E27,Master_Table[P/N],0),COLUMN(Master_Table[CCT^0]))</f>
        <v>1716.8924668712493</v>
      </c>
      <c r="AG13" s="267">
        <f t="shared" si="4"/>
        <v>2622.0004802062658</v>
      </c>
      <c r="AH13" s="191">
        <f>INDEX(Master_Table[],MATCH(Simulator!$E27,Master_Table[P/N],0),COLUMN(Master_Table[CCT^42]))</f>
        <v>6.4156947867695485E-8</v>
      </c>
      <c r="AI13" s="191">
        <f>INDEX(Master_Table[],MATCH(Simulator!$E27,Master_Table[P/N],0),COLUMN(Master_Table[CCT^32]))</f>
        <v>-4.5361634125887272E-5</v>
      </c>
      <c r="AJ13" s="191">
        <f>INDEX(Master_Table[],MATCH(Simulator!$E27,Master_Table[P/N],0),COLUMN(Master_Table[CCT^22]))</f>
        <v>1.3882185029054264E-3</v>
      </c>
      <c r="AK13" s="191">
        <f>INDEX(Master_Table[],MATCH(Simulator!$E27,Master_Table[P/N],0),COLUMN(Master_Table[CCT^12]))</f>
        <v>5.1060272500489212</v>
      </c>
      <c r="AL13" s="191">
        <f>INDEX(Master_Table[],MATCH(Simulator!$E27,Master_Table[P/N],0),COLUMN(Master_Table[CCT^02]))</f>
        <v>1716.8924668712493</v>
      </c>
      <c r="AM13" s="267">
        <f t="shared" si="5"/>
        <v>0</v>
      </c>
      <c r="AN13" s="221">
        <f t="shared" si="6"/>
        <v>2622.0004802062658</v>
      </c>
    </row>
    <row r="14" spans="1:40" x14ac:dyDescent="0.25">
      <c r="A14" t="s">
        <v>167</v>
      </c>
      <c r="B14" s="77">
        <f>INDEX(Master_Table[],MATCH(Simulator!E28,Master_Table[P/N],0),COLUMN(Master_Table[Typical Lumens]))</f>
        <v>416.09999999999997</v>
      </c>
      <c r="C14" s="4">
        <f>INDEX(Master_Table[],MATCH(Simulator!$E28,Master_Table[P/N],0),COLUMN(Master_Table[I^4]))</f>
        <v>-1.5049654997828334E-12</v>
      </c>
      <c r="D14" s="4">
        <f>INDEX(Master_Table[],MATCH(Simulator!$E28,Master_Table[P/N],0),COLUMN(Master_Table[I^3]))</f>
        <v>-2.2721906642875206E-8</v>
      </c>
      <c r="E14" s="4">
        <f>INDEX(Master_Table[],MATCH(Simulator!$E28,Master_Table[P/N],0),COLUMN(Master_Table[I^2]))</f>
        <v>1.3244252285598832E-5</v>
      </c>
      <c r="F14" s="4">
        <f>INDEX(Master_Table[],MATCH(Simulator!$E28,Master_Table[P/N],0),COLUMN(Master_Table[I]))</f>
        <v>2.1344749988985432E-3</v>
      </c>
      <c r="G14" s="4">
        <f>INDEX(Master_Table[],MATCH(Simulator!$E28,Master_Table[P/N],0),COLUMN(Master_Table[I0]))</f>
        <v>-4.5144071261465262E-4</v>
      </c>
      <c r="H14" s="78">
        <f t="shared" ref="H14:H20" si="8">(C14*D$1^4+D14*D$1^3+E14*D$1^2+F14*D$1^1+G14)</f>
        <v>1.0000245140834965</v>
      </c>
      <c r="I14" s="77">
        <f>INDEX(Master_Table[],MATCH(Simulator!$E28,Master_Table[P/N],0),COLUMN(Master_Table[T^4]))</f>
        <v>0</v>
      </c>
      <c r="J14" s="254">
        <f>INDEX(Master_Table[],MATCH(Simulator!$E28,Master_Table[P/N],0),COLUMN(Master_Table[T^3]))</f>
        <v>-2.4074887656866403E-8</v>
      </c>
      <c r="K14" s="254">
        <f>INDEX(Master_Table[],MATCH(Simulator!$E28,Master_Table[P/N],0),COLUMN(Master_Table[T^2]))</f>
        <v>-5.8938036295637434E-8</v>
      </c>
      <c r="L14" s="254">
        <f>INDEX(Master_Table[],MATCH(Simulator!$E28,Master_Table[P/N],0),COLUMN(Master_Table[T]))</f>
        <v>-9.9306787123950571E-4</v>
      </c>
      <c r="M14" s="254">
        <f>INDEX(Master_Table[],MATCH(Simulator!$E28,Master_Table[P/N],0),COLUMN(Master_Table[T0]))</f>
        <v>1.0252397031733109</v>
      </c>
      <c r="N14" s="75">
        <f t="shared" ref="N14:N20" si="9">(I14*F$1^4+J14*F$1^3+K14*F$1^2+L14*F$1^1+M14)</f>
        <v>1</v>
      </c>
      <c r="O14" s="75">
        <f t="shared" ref="O14:O20" si="10">IFERROR(N14*H14*B14,"-")</f>
        <v>416.11020031014283</v>
      </c>
      <c r="Q14" s="77">
        <f>INDEX(Master_Table[],MATCH(Simulator!E28,Master_Table[P/N],0),COLUMN(Master_Table[Typical Voltage]))</f>
        <v>17</v>
      </c>
      <c r="R14" s="254">
        <f>INDEX(Master_Table[],MATCH(Simulator!$E28,Master_Table[P/N],0),COLUMN(Master_Table[V^4]))</f>
        <v>-3.0167959188950945E-9</v>
      </c>
      <c r="S14" s="254">
        <f>INDEX(Master_Table[],MATCH(Simulator!$E28,Master_Table[P/N],0),COLUMN(Master_Table[V^3]))</f>
        <v>2.3342165607486289E-6</v>
      </c>
      <c r="T14" s="254">
        <f>INDEX(Master_Table[],MATCH(Simulator!$E28,Master_Table[P/N],0),COLUMN(Master_Table[V^2]))</f>
        <v>-6.6635585775587348E-4</v>
      </c>
      <c r="U14" s="254">
        <f>INDEX(Master_Table[],MATCH(Simulator!$E28,Master_Table[P/N],0),COLUMN(Master_Table[V]))</f>
        <v>9.5928073054976568E-2</v>
      </c>
      <c r="V14" s="254">
        <f>INDEX(Master_Table[],MATCH(Simulator!$E28,Master_Table[P/N],0),COLUMN(Master_Table[V0]))</f>
        <v>9.9774481424845956</v>
      </c>
      <c r="W14" s="217">
        <f t="shared" ref="W14:W20" si="11">R14*D$1*D$1*D$1*D$1+S14*D$1*D$1*D$1+T14*D$1*D$1+U14*D$1+V14</f>
        <v>17.000000000000014</v>
      </c>
      <c r="X14" s="109">
        <f>(F$1-25)*INDEX(Master_Table[],MATCH(Simulator!$E28,Master_Table[P/N],0),COLUMN(Master_Table[dV/dT (mV/C)]))/1000</f>
        <v>0</v>
      </c>
      <c r="Y14" s="109">
        <f t="shared" ref="Y14:Y20" si="12">W14+X14</f>
        <v>17.000000000000014</v>
      </c>
      <c r="AA14" s="77">
        <f>INDEX(Master_Table[],MATCH(Simulator!E28,Master_Table[P/N],0),COLUMN(Master_Table[Typical Current]))</f>
        <v>250</v>
      </c>
      <c r="AB14" s="254">
        <f>INDEX(Master_Table[],MATCH(Simulator!$E28,Master_Table[P/N],0),COLUMN(Master_Table[CCT^4]))</f>
        <v>0</v>
      </c>
      <c r="AC14" s="254">
        <f>INDEX(Master_Table[],MATCH(Simulator!$E28,Master_Table[P/N],0),COLUMN(Master_Table[CCT^3]))</f>
        <v>3.1013999999999998E-5</v>
      </c>
      <c r="AD14" s="254">
        <f>INDEX(Master_Table[],MATCH(Simulator!$E28,Master_Table[P/N],0),COLUMN(Master_Table[CCT^2]))</f>
        <v>-3.0558999999999999E-2</v>
      </c>
      <c r="AE14" s="254">
        <f>INDEX(Master_Table[],MATCH(Simulator!$E28,Master_Table[P/N],0),COLUMN(Master_Table[CCT^1]))</f>
        <v>9.8179999999999996</v>
      </c>
      <c r="AF14" s="254">
        <f>INDEX(Master_Table[],MATCH(Simulator!$E28,Master_Table[P/N],0),COLUMN(Master_Table[CCT^0]))</f>
        <v>1669.3</v>
      </c>
      <c r="AG14" s="268">
        <f t="shared" ref="AG14:AG20" si="13">IF(D$1/AA14&lt;0.75,AB14*D$1^4+AC14*D$1^3+AD14*D$1^2+AE14*D$1^1+AF14,0)</f>
        <v>0</v>
      </c>
      <c r="AH14" s="254">
        <f>INDEX(Master_Table[],MATCH(Simulator!$E28,Master_Table[P/N],0),COLUMN(Master_Table[CCT^42]))</f>
        <v>0</v>
      </c>
      <c r="AI14" s="254">
        <f>INDEX(Master_Table[],MATCH(Simulator!$E28,Master_Table[P/N],0),COLUMN(Master_Table[CCT^32]))</f>
        <v>0</v>
      </c>
      <c r="AJ14" s="254">
        <f>INDEX(Master_Table[],MATCH(Simulator!$E28,Master_Table[P/N],0),COLUMN(Master_Table[CCT^22]))</f>
        <v>5.3972999999999998E-4</v>
      </c>
      <c r="AK14" s="254">
        <f>INDEX(Master_Table[],MATCH(Simulator!$E28,Master_Table[P/N],0),COLUMN(Master_Table[CCT^12]))</f>
        <v>0.59370000000000001</v>
      </c>
      <c r="AL14" s="254">
        <f>INDEX(Master_Table[],MATCH(Simulator!$E28,Master_Table[P/N],0),COLUMN(Master_Table[CCT^02]))</f>
        <v>2517.8000000000002</v>
      </c>
      <c r="AM14" s="107">
        <f t="shared" ref="AM14:AM20" si="14">IF(D$1/AA14&gt;=0.75,AH14*D$1^4+AI14*D$1^3+AJ14*D$1^2+AK14*D$1^1+AL14,0)</f>
        <v>2699.9581250000001</v>
      </c>
      <c r="AN14" s="102">
        <f t="shared" ref="AN14:AN20" si="15">AM14+AG14</f>
        <v>2699.9581250000001</v>
      </c>
    </row>
    <row r="15" spans="1:40" x14ac:dyDescent="0.25">
      <c r="A15" t="s">
        <v>168</v>
      </c>
      <c r="B15" s="77">
        <f>INDEX(Master_Table[],MATCH(Simulator!E29,Master_Table[P/N],0),COLUMN(Master_Table[Typical Lumens]))</f>
        <v>582.35</v>
      </c>
      <c r="C15" s="4">
        <f>INDEX(Master_Table[],MATCH(Simulator!$E29,Master_Table[P/N],0),COLUMN(Master_Table[I^4]))</f>
        <v>2.0563232639415106E-12</v>
      </c>
      <c r="D15" s="4">
        <f>INDEX(Master_Table[],MATCH(Simulator!$E29,Master_Table[P/N],0),COLUMN(Master_Table[I^3]))</f>
        <v>-1.1547329885441754E-8</v>
      </c>
      <c r="E15" s="4">
        <f>INDEX(Master_Table[],MATCH(Simulator!$E29,Master_Table[P/N],0),COLUMN(Master_Table[I^2]))</f>
        <v>8.1130316176974384E-6</v>
      </c>
      <c r="F15" s="4">
        <f>INDEX(Master_Table[],MATCH(Simulator!$E29,Master_Table[P/N],0),COLUMN(Master_Table[I]))</f>
        <v>1.3363941338751929E-3</v>
      </c>
      <c r="G15" s="4">
        <f>INDEX(Master_Table[],MATCH(Simulator!$E29,Master_Table[P/N],0),COLUMN(Master_Table[I0]))</f>
        <v>2.5720255218239819E-3</v>
      </c>
      <c r="H15" s="78">
        <f t="shared" si="8"/>
        <v>0.67134051838645625</v>
      </c>
      <c r="I15" s="77">
        <f>INDEX(Master_Table[],MATCH(Simulator!$E29,Master_Table[P/N],0),COLUMN(Master_Table[T^4]))</f>
        <v>0</v>
      </c>
      <c r="J15" s="254">
        <f>INDEX(Master_Table[],MATCH(Simulator!$E29,Master_Table[P/N],0),COLUMN(Master_Table[T^3]))</f>
        <v>-2.4074887656866403E-8</v>
      </c>
      <c r="K15" s="254">
        <f>INDEX(Master_Table[],MATCH(Simulator!$E29,Master_Table[P/N],0),COLUMN(Master_Table[T^2]))</f>
        <v>-5.8938036295637434E-8</v>
      </c>
      <c r="L15" s="254">
        <f>INDEX(Master_Table[],MATCH(Simulator!$E29,Master_Table[P/N],0),COLUMN(Master_Table[T]))</f>
        <v>-9.9306787123950571E-4</v>
      </c>
      <c r="M15" s="254">
        <f>INDEX(Master_Table[],MATCH(Simulator!$E29,Master_Table[P/N],0),COLUMN(Master_Table[T0]))</f>
        <v>1.0252397031733109</v>
      </c>
      <c r="N15" s="75">
        <f t="shared" si="9"/>
        <v>1</v>
      </c>
      <c r="O15" s="75">
        <f t="shared" si="10"/>
        <v>390.95515088235283</v>
      </c>
      <c r="Q15" s="77">
        <f>INDEX(Master_Table[],MATCH(Simulator!E29,Master_Table[P/N],0),COLUMN(Master_Table[Typical Voltage]))</f>
        <v>17</v>
      </c>
      <c r="R15" s="254">
        <f>INDEX(Master_Table[],MATCH(Simulator!$E29,Master_Table[P/N],0),COLUMN(Master_Table[V^4]))</f>
        <v>-8.376945271258572E-10</v>
      </c>
      <c r="S15" s="254">
        <f>INDEX(Master_Table[],MATCH(Simulator!$E29,Master_Table[P/N],0),COLUMN(Master_Table[V^3]))</f>
        <v>8.9384798476104261E-7</v>
      </c>
      <c r="T15" s="254">
        <f>INDEX(Master_Table[],MATCH(Simulator!$E29,Master_Table[P/N],0),COLUMN(Master_Table[V^2]))</f>
        <v>-3.4918548154403849E-4</v>
      </c>
      <c r="U15" s="254">
        <f>INDEX(Master_Table[],MATCH(Simulator!$E29,Master_Table[P/N],0),COLUMN(Master_Table[V]))</f>
        <v>6.7662061532231255E-2</v>
      </c>
      <c r="V15" s="254">
        <f>INDEX(Master_Table[],MATCH(Simulator!$E29,Master_Table[P/N],0),COLUMN(Master_Table[V0]))</f>
        <v>10.340421103916475</v>
      </c>
      <c r="W15" s="217">
        <f t="shared" si="11"/>
        <v>16.125974405777789</v>
      </c>
      <c r="X15" s="109">
        <f>(F$1-25)*INDEX(Master_Table[],MATCH(Simulator!$E29,Master_Table[P/N],0),COLUMN(Master_Table[dV/dT (mV/C)]))/1000</f>
        <v>0</v>
      </c>
      <c r="Y15" s="109">
        <f t="shared" si="12"/>
        <v>16.125974405777789</v>
      </c>
      <c r="AA15" s="77">
        <f>INDEX(Master_Table[],MATCH(Simulator!E29,Master_Table[P/N],0),COLUMN(Master_Table[Typical Current]))</f>
        <v>350</v>
      </c>
      <c r="AB15" s="254">
        <f>INDEX(Master_Table[],MATCH(Simulator!$E29,Master_Table[P/N],0),COLUMN(Master_Table[CCT^4]))</f>
        <v>6.4156947867695485E-8</v>
      </c>
      <c r="AC15" s="254">
        <f>INDEX(Master_Table[],MATCH(Simulator!$E29,Master_Table[P/N],0),COLUMN(Master_Table[CCT^3]))</f>
        <v>-4.5361634125887272E-5</v>
      </c>
      <c r="AD15" s="254">
        <f>INDEX(Master_Table[],MATCH(Simulator!$E29,Master_Table[P/N],0),COLUMN(Master_Table[CCT^2]))</f>
        <v>1.3882185029054264E-3</v>
      </c>
      <c r="AE15" s="254">
        <f>INDEX(Master_Table[],MATCH(Simulator!$E29,Master_Table[P/N],0),COLUMN(Master_Table[CCT^1]))</f>
        <v>5.1060272500489212</v>
      </c>
      <c r="AF15" s="254">
        <f>INDEX(Master_Table[],MATCH(Simulator!$E29,Master_Table[P/N],0),COLUMN(Master_Table[CCT^0]))</f>
        <v>1716.8924668712493</v>
      </c>
      <c r="AG15" s="268">
        <f t="shared" si="13"/>
        <v>2622.0004802062658</v>
      </c>
      <c r="AH15" s="254">
        <f>INDEX(Master_Table[],MATCH(Simulator!$E29,Master_Table[P/N],0),COLUMN(Master_Table[CCT^42]))</f>
        <v>6.4156947867695485E-8</v>
      </c>
      <c r="AI15" s="254">
        <f>INDEX(Master_Table[],MATCH(Simulator!$E29,Master_Table[P/N],0),COLUMN(Master_Table[CCT^32]))</f>
        <v>-4.5361634125887272E-5</v>
      </c>
      <c r="AJ15" s="254">
        <f>INDEX(Master_Table[],MATCH(Simulator!$E29,Master_Table[P/N],0),COLUMN(Master_Table[CCT^22]))</f>
        <v>1.3882185029054264E-3</v>
      </c>
      <c r="AK15" s="254">
        <f>INDEX(Master_Table[],MATCH(Simulator!$E29,Master_Table[P/N],0),COLUMN(Master_Table[CCT^12]))</f>
        <v>5.1060272500489212</v>
      </c>
      <c r="AL15" s="254">
        <f>INDEX(Master_Table[],MATCH(Simulator!$E29,Master_Table[P/N],0),COLUMN(Master_Table[CCT^02]))</f>
        <v>1716.8924668712493</v>
      </c>
      <c r="AM15" s="268">
        <f t="shared" si="14"/>
        <v>0</v>
      </c>
      <c r="AN15" s="102">
        <f t="shared" si="15"/>
        <v>2622.0004802062658</v>
      </c>
    </row>
    <row r="16" spans="1:40" x14ac:dyDescent="0.25">
      <c r="A16" t="s">
        <v>169</v>
      </c>
      <c r="B16" s="77">
        <f>INDEX(Master_Table[],MATCH(Simulator!E30,Master_Table[P/N],0),COLUMN(Master_Table[Typical Lumens]))</f>
        <v>1179.8999999999999</v>
      </c>
      <c r="C16" s="4">
        <f>INDEX(Master_Table[],MATCH(Simulator!$E30,Master_Table[P/N],0),COLUMN(Master_Table[I^4]))</f>
        <v>7.0452527036719384E-12</v>
      </c>
      <c r="D16" s="4">
        <f>INDEX(Master_Table[],MATCH(Simulator!$E30,Master_Table[P/N],0),COLUMN(Master_Table[I^3]))</f>
        <v>-1.6567569708292668E-8</v>
      </c>
      <c r="E16" s="4">
        <f>INDEX(Master_Table[],MATCH(Simulator!$E30,Master_Table[P/N],0),COLUMN(Master_Table[I^2]))</f>
        <v>9.7826352007825322E-6</v>
      </c>
      <c r="F16" s="4">
        <f>INDEX(Master_Table[],MATCH(Simulator!$E30,Master_Table[P/N],0),COLUMN(Master_Table[I]))</f>
        <v>1.1347443057740242E-3</v>
      </c>
      <c r="G16" s="4">
        <f>INDEX(Master_Table[],MATCH(Simulator!$E30,Master_Table[P/N],0),COLUMN(Master_Table[I0]))</f>
        <v>8.8121211675696587E-3</v>
      </c>
      <c r="H16" s="102">
        <f t="shared" si="8"/>
        <v>0.67256513934162965</v>
      </c>
      <c r="I16" s="77">
        <f>INDEX(Master_Table[],MATCH(Simulator!$E30,Master_Table[P/N],0),COLUMN(Master_Table[T^4]))</f>
        <v>0</v>
      </c>
      <c r="J16" s="254">
        <f>INDEX(Master_Table[],MATCH(Simulator!$E30,Master_Table[P/N],0),COLUMN(Master_Table[T^3]))</f>
        <v>-2.4074887656866403E-8</v>
      </c>
      <c r="K16" s="254">
        <f>INDEX(Master_Table[],MATCH(Simulator!$E30,Master_Table[P/N],0),COLUMN(Master_Table[T^2]))</f>
        <v>-5.8938036295637434E-8</v>
      </c>
      <c r="L16" s="254">
        <f>INDEX(Master_Table[],MATCH(Simulator!$E30,Master_Table[P/N],0),COLUMN(Master_Table[T]))</f>
        <v>-9.9306787123950571E-4</v>
      </c>
      <c r="M16" s="254">
        <f>INDEX(Master_Table[],MATCH(Simulator!$E30,Master_Table[P/N],0),COLUMN(Master_Table[T0]))</f>
        <v>1.0252397031733109</v>
      </c>
      <c r="N16" s="75">
        <f t="shared" si="9"/>
        <v>1</v>
      </c>
      <c r="O16" s="75">
        <f t="shared" si="10"/>
        <v>793.55960790918868</v>
      </c>
      <c r="Q16" s="77">
        <f>INDEX(Master_Table[],MATCH(Simulator!E30,Master_Table[P/N],0),COLUMN(Master_Table[Typical Voltage]))</f>
        <v>33.799999999999997</v>
      </c>
      <c r="R16" s="254">
        <f>INDEX(Master_Table[],MATCH(Simulator!$E30,Master_Table[P/N],0),COLUMN(Master_Table[V^4]))</f>
        <v>-1.0263070615851712E-9</v>
      </c>
      <c r="S16" s="254">
        <f>INDEX(Master_Table[],MATCH(Simulator!$E30,Master_Table[P/N],0),COLUMN(Master_Table[V^3]))</f>
        <v>1.0987480245458821E-6</v>
      </c>
      <c r="T16" s="254">
        <f>INDEX(Master_Table[],MATCH(Simulator!$E30,Master_Table[P/N],0),COLUMN(Master_Table[V^2]))</f>
        <v>-4.3082205675544721E-4</v>
      </c>
      <c r="U16" s="254">
        <f>INDEX(Master_Table[],MATCH(Simulator!$E30,Master_Table[P/N],0),COLUMN(Master_Table[V]))</f>
        <v>8.2958507290343014E-2</v>
      </c>
      <c r="V16" s="254">
        <f>INDEX(Master_Table[],MATCH(Simulator!$E30,Master_Table[P/N],0),COLUMN(Master_Table[V0]))</f>
        <v>25.832423191430003</v>
      </c>
      <c r="W16" s="217">
        <f t="shared" si="11"/>
        <v>32.804597391012635</v>
      </c>
      <c r="X16" s="109">
        <f>(F$1-25)*INDEX(Master_Table[],MATCH(Simulator!$E30,Master_Table[P/N],0),COLUMN(Master_Table[dV/dT (mV/C)]))/1000</f>
        <v>0</v>
      </c>
      <c r="Y16" s="109">
        <f t="shared" si="12"/>
        <v>32.804597391012635</v>
      </c>
      <c r="AA16" s="77">
        <f>INDEX(Master_Table[],MATCH(Simulator!E30,Master_Table[P/N],0),COLUMN(Master_Table[Typical Current]))</f>
        <v>350</v>
      </c>
      <c r="AB16" s="254">
        <f>INDEX(Master_Table[],MATCH(Simulator!$E30,Master_Table[P/N],0),COLUMN(Master_Table[CCT^4]))</f>
        <v>6.4156947867695485E-8</v>
      </c>
      <c r="AC16" s="254">
        <f>INDEX(Master_Table[],MATCH(Simulator!$E30,Master_Table[P/N],0),COLUMN(Master_Table[CCT^3]))</f>
        <v>-4.5361634125887272E-5</v>
      </c>
      <c r="AD16" s="254">
        <f>INDEX(Master_Table[],MATCH(Simulator!$E30,Master_Table[P/N],0),COLUMN(Master_Table[CCT^2]))</f>
        <v>1.3882185029054264E-3</v>
      </c>
      <c r="AE16" s="254">
        <f>INDEX(Master_Table[],MATCH(Simulator!$E30,Master_Table[P/N],0),COLUMN(Master_Table[CCT^1]))</f>
        <v>5.1060272500489212</v>
      </c>
      <c r="AF16" s="254">
        <f>INDEX(Master_Table[],MATCH(Simulator!$E30,Master_Table[P/N],0),COLUMN(Master_Table[CCT^0]))</f>
        <v>1716.8924668712493</v>
      </c>
      <c r="AG16" s="268">
        <f t="shared" si="13"/>
        <v>2622.0004802062658</v>
      </c>
      <c r="AH16" s="254">
        <f>INDEX(Master_Table[],MATCH(Simulator!$E30,Master_Table[P/N],0),COLUMN(Master_Table[CCT^42]))</f>
        <v>6.4156947867695485E-8</v>
      </c>
      <c r="AI16" s="254">
        <f>INDEX(Master_Table[],MATCH(Simulator!$E30,Master_Table[P/N],0),COLUMN(Master_Table[CCT^32]))</f>
        <v>-4.5361634125887272E-5</v>
      </c>
      <c r="AJ16" s="254">
        <f>INDEX(Master_Table[],MATCH(Simulator!$E30,Master_Table[P/N],0),COLUMN(Master_Table[CCT^22]))</f>
        <v>1.3882185029054264E-3</v>
      </c>
      <c r="AK16" s="254">
        <f>INDEX(Master_Table[],MATCH(Simulator!$E30,Master_Table[P/N],0),COLUMN(Master_Table[CCT^12]))</f>
        <v>5.1060272500489212</v>
      </c>
      <c r="AL16" s="254">
        <f>INDEX(Master_Table[],MATCH(Simulator!$E30,Master_Table[P/N],0),COLUMN(Master_Table[CCT^02]))</f>
        <v>1716.8924668712493</v>
      </c>
      <c r="AM16" s="107">
        <f t="shared" si="14"/>
        <v>0</v>
      </c>
      <c r="AN16" s="102">
        <f t="shared" si="15"/>
        <v>2622.0004802062658</v>
      </c>
    </row>
    <row r="17" spans="1:40" x14ac:dyDescent="0.25">
      <c r="A17" t="s">
        <v>170</v>
      </c>
      <c r="B17" s="77">
        <f>INDEX(Master_Table[],MATCH(Simulator!E31,Master_Table[P/N],0),COLUMN(Master_Table[Typical Lumens]))</f>
        <v>2026.56</v>
      </c>
      <c r="C17" s="4">
        <f>INDEX(Master_Table[],MATCH(Simulator!$E31,Master_Table[P/N],0),COLUMN(Master_Table[I^4]))</f>
        <v>-2.421962082336712E-13</v>
      </c>
      <c r="D17" s="4">
        <f>INDEX(Master_Table[],MATCH(Simulator!$E31,Master_Table[P/N],0),COLUMN(Master_Table[I^3]))</f>
        <v>-7.4249550196922771E-10</v>
      </c>
      <c r="E17" s="4">
        <f>INDEX(Master_Table[],MATCH(Simulator!$E31,Master_Table[P/N],0),COLUMN(Master_Table[I^2]))</f>
        <v>1.2355486467678302E-6</v>
      </c>
      <c r="F17" s="4">
        <f>INDEX(Master_Table[],MATCH(Simulator!$E31,Master_Table[P/N],0),COLUMN(Master_Table[I]))</f>
        <v>1.2505421601140371E-3</v>
      </c>
      <c r="G17" s="4">
        <f>INDEX(Master_Table[],MATCH(Simulator!$E31,Master_Table[P/N],0),COLUMN(Master_Table[I0]))</f>
        <v>-3.2333080334528211E-3</v>
      </c>
      <c r="H17" s="78">
        <f t="shared" si="8"/>
        <v>0.37407645126136385</v>
      </c>
      <c r="I17" s="77">
        <f>INDEX(Master_Table[],MATCH(Simulator!$E31,Master_Table[P/N],0),COLUMN(Master_Table[T^4]))</f>
        <v>0</v>
      </c>
      <c r="J17" s="254">
        <f>INDEX(Master_Table[],MATCH(Simulator!$E31,Master_Table[P/N],0),COLUMN(Master_Table[T^3]))</f>
        <v>3.6387447940109519E-9</v>
      </c>
      <c r="K17" s="254">
        <f>INDEX(Master_Table[],MATCH(Simulator!$E31,Master_Table[P/N],0),COLUMN(Master_Table[T^2]))</f>
        <v>-4.3617292422584442E-6</v>
      </c>
      <c r="L17" s="254">
        <f>INDEX(Master_Table[],MATCH(Simulator!$E31,Master_Table[P/N],0),COLUMN(Master_Table[T]))</f>
        <v>-1.1442832912038402E-3</v>
      </c>
      <c r="M17" s="254">
        <f>INDEX(Master_Table[],MATCH(Simulator!$E31,Master_Table[P/N],0),COLUMN(Master_Table[T0]))</f>
        <v>1.0312763076691012</v>
      </c>
      <c r="N17" s="75">
        <f t="shared" si="9"/>
        <v>1</v>
      </c>
      <c r="O17" s="75">
        <f t="shared" si="10"/>
        <v>758.08837306822954</v>
      </c>
      <c r="Q17" s="77">
        <f>INDEX(Master_Table[],MATCH(Simulator!E31,Master_Table[P/N],0),COLUMN(Master_Table[Typical Voltage]))</f>
        <v>33.5</v>
      </c>
      <c r="R17" s="254">
        <f>INDEX(Master_Table[],MATCH(Simulator!$E31,Master_Table[P/N],0),COLUMN(Master_Table[V^4]))</f>
        <v>-1.2470292830594369E-10</v>
      </c>
      <c r="S17" s="254">
        <f>INDEX(Master_Table[],MATCH(Simulator!$E31,Master_Table[P/N],0),COLUMN(Master_Table[V^3]))</f>
        <v>2.2734000912019639E-7</v>
      </c>
      <c r="T17" s="254">
        <f>INDEX(Master_Table[],MATCH(Simulator!$E31,Master_Table[P/N],0),COLUMN(Master_Table[V^2]))</f>
        <v>-1.5056316798366467E-4</v>
      </c>
      <c r="U17" s="254">
        <f>INDEX(Master_Table[],MATCH(Simulator!$E31,Master_Table[P/N],0),COLUMN(Master_Table[V]))</f>
        <v>4.7938591121228488E-2</v>
      </c>
      <c r="V17" s="254">
        <f>INDEX(Master_Table[],MATCH(Simulator!$E31,Master_Table[P/N],0),COLUMN(Master_Table[V0]))</f>
        <v>26.000184370165666</v>
      </c>
      <c r="W17" s="217">
        <f t="shared" si="11"/>
        <v>31.639700980301722</v>
      </c>
      <c r="X17" s="109">
        <f>(F$1-25)*INDEX(Master_Table[],MATCH(Simulator!$E31,Master_Table[P/N],0),COLUMN(Master_Table[dV/dT (mV/C)]))/1000</f>
        <v>0</v>
      </c>
      <c r="Y17" s="109">
        <f t="shared" si="12"/>
        <v>31.639700980301722</v>
      </c>
      <c r="AA17" s="77">
        <f>INDEX(Master_Table[],MATCH(Simulator!E31,Master_Table[P/N],0),COLUMN(Master_Table[Typical Current]))</f>
        <v>600</v>
      </c>
      <c r="AB17" s="254">
        <f>INDEX(Master_Table[],MATCH(Simulator!$E31,Master_Table[P/N],0),COLUMN(Master_Table[CCT^4]))</f>
        <v>-3.7005321210428487E-9</v>
      </c>
      <c r="AC17" s="254">
        <f>INDEX(Master_Table[],MATCH(Simulator!$E31,Master_Table[P/N],0),COLUMN(Master_Table[CCT^3]))</f>
        <v>1.0114019313581315E-5</v>
      </c>
      <c r="AD17" s="254">
        <f>INDEX(Master_Table[],MATCH(Simulator!$E31,Master_Table[P/N],0),COLUMN(Master_Table[CCT^2]))</f>
        <v>-1.0418289531098003E-2</v>
      </c>
      <c r="AE17" s="254">
        <f>INDEX(Master_Table[],MATCH(Simulator!$E31,Master_Table[P/N],0),COLUMN(Master_Table[CCT^1]))</f>
        <v>5.0771114962595325</v>
      </c>
      <c r="AF17" s="254">
        <f>INDEX(Master_Table[],MATCH(Simulator!$E31,Master_Table[P/N],0),COLUMN(Master_Table[CCT^0]))</f>
        <v>1696.8931479305706</v>
      </c>
      <c r="AG17" s="268">
        <f t="shared" si="13"/>
        <v>2458.6042744787128</v>
      </c>
      <c r="AH17" s="254">
        <f>INDEX(Master_Table[],MATCH(Simulator!$E31,Master_Table[P/N],0),COLUMN(Master_Table[CCT^42]))</f>
        <v>-3.7005321210428487E-9</v>
      </c>
      <c r="AI17" s="254">
        <f>INDEX(Master_Table[],MATCH(Simulator!$E31,Master_Table[P/N],0),COLUMN(Master_Table[CCT^32]))</f>
        <v>1.0114019313581315E-5</v>
      </c>
      <c r="AJ17" s="254">
        <f>INDEX(Master_Table[],MATCH(Simulator!$E31,Master_Table[P/N],0),COLUMN(Master_Table[CCT^22]))</f>
        <v>-1.0418289531098003E-2</v>
      </c>
      <c r="AK17" s="254">
        <f>INDEX(Master_Table[],MATCH(Simulator!$E31,Master_Table[P/N],0),COLUMN(Master_Table[CCT^12]))</f>
        <v>5.0771114962595325</v>
      </c>
      <c r="AL17" s="254">
        <f>INDEX(Master_Table[],MATCH(Simulator!$E31,Master_Table[P/N],0),COLUMN(Master_Table[CCT^02]))</f>
        <v>1696.8931479305706</v>
      </c>
      <c r="AM17" s="107">
        <f t="shared" si="14"/>
        <v>0</v>
      </c>
      <c r="AN17" s="102">
        <f t="shared" si="15"/>
        <v>2458.6042744787128</v>
      </c>
    </row>
    <row r="18" spans="1:40" x14ac:dyDescent="0.25">
      <c r="A18" t="s">
        <v>171</v>
      </c>
      <c r="B18" s="77">
        <f>INDEX(Master_Table[],MATCH(Simulator!E32,Master_Table[P/N],0),COLUMN(Master_Table[Typical Lumens]))</f>
        <v>3264.96</v>
      </c>
      <c r="C18" s="4">
        <f>INDEX(Master_Table[],MATCH(Simulator!$E32,Master_Table[P/N],0),COLUMN(Master_Table[I^4]))</f>
        <v>-1.9231261965129578E-14</v>
      </c>
      <c r="D18" s="4">
        <f>INDEX(Master_Table[],MATCH(Simulator!$E32,Master_Table[P/N],0),COLUMN(Master_Table[I^3]))</f>
        <v>-3.6051752471271521E-10</v>
      </c>
      <c r="E18" s="4">
        <f>INDEX(Master_Table[],MATCH(Simulator!$E32,Master_Table[P/N],0),COLUMN(Master_Table[I^2]))</f>
        <v>7.0901461413326134E-7</v>
      </c>
      <c r="F18" s="4">
        <f>INDEX(Master_Table[],MATCH(Simulator!$E32,Master_Table[P/N],0),COLUMN(Master_Table[I]))</f>
        <v>7.2224127080209612E-4</v>
      </c>
      <c r="G18" s="4">
        <f>INDEX(Master_Table[],MATCH(Simulator!$E32,Master_Table[P/N],0),COLUMN(Master_Table[I0]))</f>
        <v>-1.1997399551094169E-3</v>
      </c>
      <c r="H18" s="78">
        <f t="shared" si="8"/>
        <v>0.217965782688056</v>
      </c>
      <c r="I18" s="77">
        <f>INDEX(Master_Table[],MATCH(Simulator!$E32,Master_Table[P/N],0),COLUMN(Master_Table[T^4]))</f>
        <v>0</v>
      </c>
      <c r="J18" s="254">
        <f>INDEX(Master_Table[],MATCH(Simulator!$E32,Master_Table[P/N],0),COLUMN(Master_Table[T^3]))</f>
        <v>1.0278364914575743E-9</v>
      </c>
      <c r="K18" s="254">
        <f>INDEX(Master_Table[],MATCH(Simulator!$E32,Master_Table[P/N],0),COLUMN(Master_Table[T^2]))</f>
        <v>-4.2139290615143064E-6</v>
      </c>
      <c r="L18" s="254">
        <f>INDEX(Master_Table[],MATCH(Simulator!$E32,Master_Table[P/N],0),COLUMN(Master_Table[T]))</f>
        <v>-9.6864313722270525E-4</v>
      </c>
      <c r="M18" s="254">
        <f>INDEX(Master_Table[],MATCH(Simulator!$E32,Master_Table[P/N],0),COLUMN(Master_Table[T0]))</f>
        <v>1.026833724148835</v>
      </c>
      <c r="N18" s="75">
        <f t="shared" si="9"/>
        <v>1</v>
      </c>
      <c r="O18" s="75">
        <f t="shared" si="10"/>
        <v>711.64956184519531</v>
      </c>
      <c r="Q18" s="77">
        <f>INDEX(Master_Table[],MATCH(Simulator!E32,Master_Table[P/N],0),COLUMN(Master_Table[Typical Voltage]))</f>
        <v>34.1</v>
      </c>
      <c r="R18" s="254">
        <f>INDEX(Master_Table[],MATCH(Simulator!$E32,Master_Table[P/N],0),COLUMN(Master_Table[V^4]))</f>
        <v>-3.5422555345437313E-11</v>
      </c>
      <c r="S18" s="254">
        <f>INDEX(Master_Table[],MATCH(Simulator!$E32,Master_Table[P/N],0),COLUMN(Master_Table[V^3]))</f>
        <v>9.4330500076400081E-8</v>
      </c>
      <c r="T18" s="254">
        <f>INDEX(Master_Table[],MATCH(Simulator!$E32,Master_Table[P/N],0),COLUMN(Master_Table[V^2]))</f>
        <v>-9.006243448252024E-5</v>
      </c>
      <c r="U18" s="254">
        <f>INDEX(Master_Table[],MATCH(Simulator!$E32,Master_Table[P/N],0),COLUMN(Master_Table[V]))</f>
        <v>3.9711545730505921E-2</v>
      </c>
      <c r="V18" s="254">
        <f>INDEX(Master_Table[],MATCH(Simulator!$E32,Master_Table[P/N],0),COLUMN(Master_Table[V0]))</f>
        <v>25.6416864529936</v>
      </c>
      <c r="W18" s="217">
        <f t="shared" si="11"/>
        <v>31.276215437338202</v>
      </c>
      <c r="X18" s="109">
        <f>(F$1-25)*INDEX(Master_Table[],MATCH(Simulator!$E32,Master_Table[P/N],0),COLUMN(Master_Table[dV/dT (mV/C)]))/1000</f>
        <v>0</v>
      </c>
      <c r="Y18" s="109">
        <f t="shared" si="12"/>
        <v>31.276215437338202</v>
      </c>
      <c r="AA18" s="77">
        <f>INDEX(Master_Table[],MATCH(Simulator!E32,Master_Table[P/N],0),COLUMN(Master_Table[Typical Current]))</f>
        <v>950</v>
      </c>
      <c r="AB18" s="254">
        <f>INDEX(Master_Table[],MATCH(Simulator!$E32,Master_Table[P/N],0),COLUMN(Master_Table[CCT^4]))</f>
        <v>2.4011426098450005E-9</v>
      </c>
      <c r="AC18" s="254">
        <f>INDEX(Master_Table[],MATCH(Simulator!$E32,Master_Table[P/N],0),COLUMN(Master_Table[CCT^3]))</f>
        <v>-4.8270090180670596E-6</v>
      </c>
      <c r="AD18" s="254">
        <f>INDEX(Master_Table[],MATCH(Simulator!$E32,Master_Table[P/N],0),COLUMN(Master_Table[CCT^2]))</f>
        <v>1.9416149062857983E-3</v>
      </c>
      <c r="AE18" s="254">
        <f>INDEX(Master_Table[],MATCH(Simulator!$E32,Master_Table[P/N],0),COLUMN(Master_Table[CCT^1]))</f>
        <v>1.437673900589306</v>
      </c>
      <c r="AF18" s="254">
        <f>INDEX(Master_Table[],MATCH(Simulator!$E32,Master_Table[P/N],0),COLUMN(Master_Table[CCT^0]))</f>
        <v>1748.9599070558093</v>
      </c>
      <c r="AG18" s="268">
        <f t="shared" si="13"/>
        <v>2163.6867612584074</v>
      </c>
      <c r="AH18" s="254">
        <f>INDEX(Master_Table[],MATCH(Simulator!$E32,Master_Table[P/N],0),COLUMN(Master_Table[CCT^42]))</f>
        <v>2.4011426098450005E-9</v>
      </c>
      <c r="AI18" s="254">
        <f>INDEX(Master_Table[],MATCH(Simulator!$E32,Master_Table[P/N],0),COLUMN(Master_Table[CCT^32]))</f>
        <v>-4.8270090180670596E-6</v>
      </c>
      <c r="AJ18" s="254">
        <f>INDEX(Master_Table[],MATCH(Simulator!$E32,Master_Table[P/N],0),COLUMN(Master_Table[CCT^22]))</f>
        <v>1.9416149062857983E-3</v>
      </c>
      <c r="AK18" s="254">
        <f>INDEX(Master_Table[],MATCH(Simulator!$E32,Master_Table[P/N],0),COLUMN(Master_Table[CCT^12]))</f>
        <v>1.437673900589306</v>
      </c>
      <c r="AL18" s="254">
        <f>INDEX(Master_Table[],MATCH(Simulator!$E32,Master_Table[P/N],0),COLUMN(Master_Table[CCT^02]))</f>
        <v>1748.9599070558093</v>
      </c>
      <c r="AM18" s="107">
        <f t="shared" si="14"/>
        <v>0</v>
      </c>
      <c r="AN18" s="102">
        <f t="shared" si="15"/>
        <v>2163.6867612584074</v>
      </c>
    </row>
    <row r="19" spans="1:40" x14ac:dyDescent="0.25">
      <c r="A19" t="s">
        <v>172</v>
      </c>
      <c r="B19" s="77">
        <f>INDEX(Master_Table[],MATCH(Simulator!E33,Master_Table[P/N],0),COLUMN(Master_Table[Typical Lumens]))</f>
        <v>4818.24</v>
      </c>
      <c r="C19" s="4">
        <f>INDEX(Master_Table[],MATCH(Simulator!$E33,Master_Table[P/N],0),COLUMN(Master_Table[I^4]))</f>
        <v>1.2102993570755097E-15</v>
      </c>
      <c r="D19" s="4">
        <f>INDEX(Master_Table[],MATCH(Simulator!$E33,Master_Table[P/N],0),COLUMN(Master_Table[I^3]))</f>
        <v>-1.4220514602106273E-10</v>
      </c>
      <c r="E19" s="4">
        <f>INDEX(Master_Table[],MATCH(Simulator!$E33,Master_Table[P/N],0),COLUMN(Master_Table[I^2]))</f>
        <v>3.4052575572219585E-7</v>
      </c>
      <c r="F19" s="4">
        <f>INDEX(Master_Table[],MATCH(Simulator!$E33,Master_Table[P/N],0),COLUMN(Master_Table[I]))</f>
        <v>5.6978048912736208E-4</v>
      </c>
      <c r="G19" s="4">
        <f>INDEX(Master_Table[],MATCH(Simulator!$E33,Master_Table[P/N],0),COLUMN(Master_Table[I0]))</f>
        <v>2.2558660031420747E-4</v>
      </c>
      <c r="H19" s="78">
        <f t="shared" si="8"/>
        <v>0.16173634094007647</v>
      </c>
      <c r="I19" s="77">
        <f>INDEX(Master_Table[],MATCH(Simulator!$E33,Master_Table[P/N],0),COLUMN(Master_Table[T^4]))</f>
        <v>0</v>
      </c>
      <c r="J19" s="254">
        <f>INDEX(Master_Table[],MATCH(Simulator!$E33,Master_Table[P/N],0),COLUMN(Master_Table[T^3]))</f>
        <v>1.0278364914575743E-9</v>
      </c>
      <c r="K19" s="254">
        <f>INDEX(Master_Table[],MATCH(Simulator!$E33,Master_Table[P/N],0),COLUMN(Master_Table[T^2]))</f>
        <v>-4.2139290615143064E-6</v>
      </c>
      <c r="L19" s="254">
        <f>INDEX(Master_Table[],MATCH(Simulator!$E33,Master_Table[P/N],0),COLUMN(Master_Table[T]))</f>
        <v>-9.6864313722270525E-4</v>
      </c>
      <c r="M19" s="254">
        <f>INDEX(Master_Table[],MATCH(Simulator!$E33,Master_Table[P/N],0),COLUMN(Master_Table[T0]))</f>
        <v>1.026833724148835</v>
      </c>
      <c r="N19" s="75">
        <f t="shared" si="9"/>
        <v>1</v>
      </c>
      <c r="O19" s="75">
        <f t="shared" si="10"/>
        <v>779.28450737111405</v>
      </c>
      <c r="Q19" s="77">
        <f>INDEX(Master_Table[],MATCH(Simulator!E33,Master_Table[P/N],0),COLUMN(Master_Table[Typical Voltage]))</f>
        <v>33.799999999999997</v>
      </c>
      <c r="R19" s="254">
        <f>INDEX(Master_Table[],MATCH(Simulator!$E33,Master_Table[P/N],0),COLUMN(Master_Table[V^4]))</f>
        <v>-1.3920861893701241E-11</v>
      </c>
      <c r="S19" s="254">
        <f>INDEX(Master_Table[],MATCH(Simulator!$E33,Master_Table[P/N],0),COLUMN(Master_Table[V^3]))</f>
        <v>4.8240243530648746E-8</v>
      </c>
      <c r="T19" s="254">
        <f>INDEX(Master_Table[],MATCH(Simulator!$E33,Master_Table[P/N],0),COLUMN(Master_Table[V^2]))</f>
        <v>-5.9077657744319273E-5</v>
      </c>
      <c r="U19" s="254">
        <f>INDEX(Master_Table[],MATCH(Simulator!$E33,Master_Table[P/N],0),COLUMN(Master_Table[V]))</f>
        <v>3.2199401054441378E-2</v>
      </c>
      <c r="V19" s="254">
        <f>INDEX(Master_Table[],MATCH(Simulator!$E33,Master_Table[P/N],0),COLUMN(Master_Table[V0]))</f>
        <v>26.279697704976499</v>
      </c>
      <c r="W19" s="217">
        <f t="shared" si="11"/>
        <v>31.336569797961005</v>
      </c>
      <c r="X19" s="109">
        <f>(F$1-25)*INDEX(Master_Table[],MATCH(Simulator!$E33,Master_Table[P/N],0),COLUMN(Master_Table[dV/dT (mV/C)]))/1000</f>
        <v>0</v>
      </c>
      <c r="Y19" s="109">
        <f t="shared" si="12"/>
        <v>31.336569797961005</v>
      </c>
      <c r="AA19" s="77">
        <f>INDEX(Master_Table[],MATCH(Simulator!E33,Master_Table[P/N],0),COLUMN(Master_Table[Typical Current]))</f>
        <v>1290</v>
      </c>
      <c r="AB19" s="254">
        <f>INDEX(Master_Table[],MATCH(Simulator!$E33,Master_Table[P/N],0),COLUMN(Master_Table[CCT^4]))</f>
        <v>6.4154109516047754E-10</v>
      </c>
      <c r="AC19" s="254">
        <f>INDEX(Master_Table[],MATCH(Simulator!$E33,Master_Table[P/N],0),COLUMN(Master_Table[CCT^3]))</f>
        <v>-1.6480977820685622E-6</v>
      </c>
      <c r="AD19" s="254">
        <f>INDEX(Master_Table[],MATCH(Simulator!$E33,Master_Table[P/N],0),COLUMN(Master_Table[CCT^2]))</f>
        <v>6.6508788725944091E-4</v>
      </c>
      <c r="AE19" s="254">
        <f>INDEX(Master_Table[],MATCH(Simulator!$E33,Master_Table[P/N],0),COLUMN(Master_Table[CCT^1]))</f>
        <v>1.2234078088870646</v>
      </c>
      <c r="AF19" s="254">
        <f>INDEX(Master_Table[],MATCH(Simulator!$E33,Master_Table[P/N],0),COLUMN(Master_Table[CCT^0]))</f>
        <v>1767.5067842044105</v>
      </c>
      <c r="AG19" s="268">
        <f t="shared" si="13"/>
        <v>2091.6812214380411</v>
      </c>
      <c r="AH19" s="254">
        <f>INDEX(Master_Table[],MATCH(Simulator!$E33,Master_Table[P/N],0),COLUMN(Master_Table[CCT^42]))</f>
        <v>6.4154109516047754E-10</v>
      </c>
      <c r="AI19" s="254">
        <f>INDEX(Master_Table[],MATCH(Simulator!$E33,Master_Table[P/N],0),COLUMN(Master_Table[CCT^32]))</f>
        <v>-1.6480977820685622E-6</v>
      </c>
      <c r="AJ19" s="254">
        <f>INDEX(Master_Table[],MATCH(Simulator!$E33,Master_Table[P/N],0),COLUMN(Master_Table[CCT^22]))</f>
        <v>6.6508788725944091E-4</v>
      </c>
      <c r="AK19" s="254">
        <f>INDEX(Master_Table[],MATCH(Simulator!$E33,Master_Table[P/N],0),COLUMN(Master_Table[CCT^12]))</f>
        <v>1.2234078088870646</v>
      </c>
      <c r="AL19" s="254">
        <f>INDEX(Master_Table[],MATCH(Simulator!$E33,Master_Table[P/N],0),COLUMN(Master_Table[CCT^02]))</f>
        <v>1767.5067842044105</v>
      </c>
      <c r="AM19" s="107">
        <f t="shared" si="14"/>
        <v>0</v>
      </c>
      <c r="AN19" s="102">
        <f t="shared" si="15"/>
        <v>2091.6812214380411</v>
      </c>
    </row>
    <row r="20" spans="1:40" ht="16.5" thickBot="1" x14ac:dyDescent="0.3">
      <c r="A20" t="s">
        <v>173</v>
      </c>
      <c r="B20" s="79">
        <f>INDEX(Master_Table[],MATCH(Simulator!E34,Master_Table[P/N],0),COLUMN(Master_Table[Typical Lumens]))</f>
        <v>12322.56</v>
      </c>
      <c r="C20" s="192">
        <f>INDEX(Master_Table[],MATCH(Simulator!$E34,Master_Table[P/N],0),COLUMN(Master_Table[I^4]))</f>
        <v>-3.600934239272689E-16</v>
      </c>
      <c r="D20" s="192">
        <f>INDEX(Master_Table[],MATCH(Simulator!$E34,Master_Table[P/N],0),COLUMN(Master_Table[I^3]))</f>
        <v>-2.1787507029213258E-11</v>
      </c>
      <c r="E20" s="192">
        <f>INDEX(Master_Table[],MATCH(Simulator!$E34,Master_Table[P/N],0),COLUMN(Master_Table[I^2]))</f>
        <v>9.1071748257993089E-8</v>
      </c>
      <c r="F20" s="192">
        <f>INDEX(Master_Table[],MATCH(Simulator!$E34,Master_Table[P/N],0),COLUMN(Master_Table[I]))</f>
        <v>3.3673923240876266E-4</v>
      </c>
      <c r="G20" s="192">
        <f>INDEX(Master_Table[],MATCH(Simulator!$E34,Master_Table[P/N],0),COLUMN(Master_Table[I0]))</f>
        <v>-5.2500142594142599E-4</v>
      </c>
      <c r="H20" s="80">
        <f t="shared" si="8"/>
        <v>8.9009954530105115E-2</v>
      </c>
      <c r="I20" s="79">
        <f>INDEX(Master_Table[],MATCH(Simulator!$E34,Master_Table[P/N],0),COLUMN(Master_Table[T^4]))</f>
        <v>0</v>
      </c>
      <c r="J20" s="255">
        <f>INDEX(Master_Table[],MATCH(Simulator!$E34,Master_Table[P/N],0),COLUMN(Master_Table[T^3]))</f>
        <v>1.0278364914575743E-9</v>
      </c>
      <c r="K20" s="255">
        <f>INDEX(Master_Table[],MATCH(Simulator!$E34,Master_Table[P/N],0),COLUMN(Master_Table[T^2]))</f>
        <v>-4.2139290615143064E-6</v>
      </c>
      <c r="L20" s="255">
        <f>INDEX(Master_Table[],MATCH(Simulator!$E34,Master_Table[P/N],0),COLUMN(Master_Table[T]))</f>
        <v>-9.6864313722270525E-4</v>
      </c>
      <c r="M20" s="255">
        <f>INDEX(Master_Table[],MATCH(Simulator!$E34,Master_Table[P/N],0),COLUMN(Master_Table[T0]))</f>
        <v>1.026833724148835</v>
      </c>
      <c r="N20" s="76">
        <f t="shared" si="9"/>
        <v>1</v>
      </c>
      <c r="O20" s="76">
        <f t="shared" si="10"/>
        <v>1096.830505294492</v>
      </c>
      <c r="Q20" s="79">
        <f>INDEX(Master_Table[],MATCH(Simulator!E34,Master_Table[P/N],0),COLUMN(Master_Table[Typical Voltage]))</f>
        <v>45.6</v>
      </c>
      <c r="R20" s="255">
        <f>INDEX(Master_Table[],MATCH(Simulator!$E34,Master_Table[P/N],0),COLUMN(Master_Table[V^4]))</f>
        <v>-1.815579229696846E-12</v>
      </c>
      <c r="S20" s="255">
        <f>INDEX(Master_Table[],MATCH(Simulator!$E34,Master_Table[P/N],0),COLUMN(Master_Table[V^3]))</f>
        <v>1.1117377394504817E-8</v>
      </c>
      <c r="T20" s="255">
        <f>INDEX(Master_Table[],MATCH(Simulator!$E34,Master_Table[P/N],0),COLUMN(Master_Table[V^2]))</f>
        <v>-2.3776258792391319E-5</v>
      </c>
      <c r="U20" s="255">
        <f>INDEX(Master_Table[],MATCH(Simulator!$E34,Master_Table[P/N],0),COLUMN(Master_Table[V]))</f>
        <v>2.2236280990342517E-2</v>
      </c>
      <c r="V20" s="255">
        <f>INDEX(Master_Table[],MATCH(Simulator!$E34,Master_Table[P/N],0),COLUMN(Master_Table[V0]))</f>
        <v>36.649246057874421</v>
      </c>
      <c r="W20" s="220">
        <f t="shared" si="11"/>
        <v>40.888917046358728</v>
      </c>
      <c r="X20" s="110">
        <f>(F$1-25)*INDEX(Master_Table[],MATCH(Simulator!$E34,Master_Table[P/N],0),COLUMN(Master_Table[dV/dT (mV/C)]))/1000</f>
        <v>0</v>
      </c>
      <c r="Y20" s="110">
        <f t="shared" si="12"/>
        <v>40.888917046358728</v>
      </c>
      <c r="AA20" s="79">
        <f>INDEX(Master_Table[],MATCH(Simulator!E34,Master_Table[P/N],0),COLUMN(Master_Table[Typical Current]))</f>
        <v>2350</v>
      </c>
      <c r="AB20" s="255">
        <f>INDEX(Master_Table[],MATCH(Simulator!$E34,Master_Table[P/N],0),COLUMN(Master_Table[CCT^4]))</f>
        <v>3.077721396057823E-11</v>
      </c>
      <c r="AC20" s="255">
        <f>INDEX(Master_Table[],MATCH(Simulator!$E34,Master_Table[P/N],0),COLUMN(Master_Table[CCT^3]))</f>
        <v>-9.3189303083681219E-8</v>
      </c>
      <c r="AD20" s="255">
        <f>INDEX(Master_Table[],MATCH(Simulator!$E34,Master_Table[P/N],0),COLUMN(Master_Table[CCT^2]))</f>
        <v>-1.9020206131740151E-4</v>
      </c>
      <c r="AE20" s="255">
        <f>INDEX(Master_Table[],MATCH(Simulator!$E34,Master_Table[P/N],0),COLUMN(Master_Table[CCT^1]))</f>
        <v>0.96517599700477208</v>
      </c>
      <c r="AF20" s="255">
        <f>INDEX(Master_Table[],MATCH(Simulator!$E34,Master_Table[P/N],0),COLUMN(Master_Table[CCT^0]))</f>
        <v>1746.5277793594548</v>
      </c>
      <c r="AG20" s="269">
        <f t="shared" si="13"/>
        <v>1974.5982904096613</v>
      </c>
      <c r="AH20" s="255">
        <f>INDEX(Master_Table[],MATCH(Simulator!$E34,Master_Table[P/N],0),COLUMN(Master_Table[CCT^42]))</f>
        <v>3.077721396057823E-11</v>
      </c>
      <c r="AI20" s="255">
        <f>INDEX(Master_Table[],MATCH(Simulator!$E34,Master_Table[P/N],0),COLUMN(Master_Table[CCT^32]))</f>
        <v>-9.3189303083681219E-8</v>
      </c>
      <c r="AJ20" s="255">
        <f>INDEX(Master_Table[],MATCH(Simulator!$E34,Master_Table[P/N],0),COLUMN(Master_Table[CCT^22]))</f>
        <v>-1.9020206131740151E-4</v>
      </c>
      <c r="AK20" s="255">
        <f>INDEX(Master_Table[],MATCH(Simulator!$E34,Master_Table[P/N],0),COLUMN(Master_Table[CCT^12]))</f>
        <v>0.96517599700477208</v>
      </c>
      <c r="AL20" s="255">
        <f>INDEX(Master_Table[],MATCH(Simulator!$E34,Master_Table[P/N],0),COLUMN(Master_Table[CCT^02]))</f>
        <v>1746.5277793594548</v>
      </c>
      <c r="AM20" s="108">
        <f t="shared" si="14"/>
        <v>0</v>
      </c>
      <c r="AN20" s="222">
        <f t="shared" si="15"/>
        <v>1974.5982904096613</v>
      </c>
    </row>
    <row r="22" spans="1:40" ht="16.5" thickBot="1" x14ac:dyDescent="0.3">
      <c r="B22" t="s">
        <v>133</v>
      </c>
      <c r="C22" s="309" t="s">
        <v>138</v>
      </c>
      <c r="D22" s="309"/>
      <c r="E22" s="309"/>
      <c r="F22" s="309"/>
      <c r="G22" s="309"/>
      <c r="H22" s="309"/>
      <c r="I22" s="309" t="s">
        <v>139</v>
      </c>
      <c r="J22" s="309"/>
      <c r="K22" s="309"/>
      <c r="L22" s="309"/>
      <c r="M22" s="309"/>
      <c r="N22" s="309"/>
    </row>
    <row r="23" spans="1:40" ht="16.5" thickBot="1" x14ac:dyDescent="0.3">
      <c r="B23" s="103"/>
      <c r="C23" s="103" t="s">
        <v>124</v>
      </c>
      <c r="D23" s="104" t="s">
        <v>125</v>
      </c>
      <c r="E23" s="104" t="s">
        <v>126</v>
      </c>
      <c r="F23" s="104" t="s">
        <v>127</v>
      </c>
      <c r="G23" s="104" t="s">
        <v>128</v>
      </c>
      <c r="H23" s="105" t="s">
        <v>110</v>
      </c>
      <c r="I23" s="103" t="s">
        <v>124</v>
      </c>
      <c r="J23" s="104" t="s">
        <v>125</v>
      </c>
      <c r="K23" s="104" t="s">
        <v>126</v>
      </c>
      <c r="L23" s="104" t="s">
        <v>127</v>
      </c>
      <c r="M23" s="104" t="s">
        <v>128</v>
      </c>
      <c r="N23" s="105" t="s">
        <v>110</v>
      </c>
      <c r="O23" s="258" t="s">
        <v>110</v>
      </c>
      <c r="P23" s="72"/>
      <c r="Q23" s="103" t="s">
        <v>28</v>
      </c>
      <c r="R23" s="104" t="s">
        <v>29</v>
      </c>
      <c r="S23" s="104" t="s">
        <v>30</v>
      </c>
      <c r="T23" s="104" t="s">
        <v>31</v>
      </c>
      <c r="U23" s="105" t="s">
        <v>32</v>
      </c>
      <c r="V23" s="103" t="s">
        <v>31</v>
      </c>
      <c r="W23" s="265" t="s">
        <v>60</v>
      </c>
      <c r="X23" s="105" t="s">
        <v>31</v>
      </c>
      <c r="Y23" s="72"/>
      <c r="Z23" s="103" t="s">
        <v>17</v>
      </c>
      <c r="AA23" s="104" t="s">
        <v>4</v>
      </c>
      <c r="AB23" s="104" t="s">
        <v>5</v>
      </c>
      <c r="AC23" s="104" t="s">
        <v>33</v>
      </c>
      <c r="AD23" s="104" t="s">
        <v>34</v>
      </c>
      <c r="AE23" s="266" t="s">
        <v>117</v>
      </c>
      <c r="AF23" s="265" t="s">
        <v>134</v>
      </c>
      <c r="AG23" s="1"/>
      <c r="AH23" s="1"/>
      <c r="AI23" s="1"/>
      <c r="AJ23" s="1"/>
      <c r="AK23" s="72"/>
      <c r="AL23" s="3"/>
      <c r="AM23" s="3"/>
    </row>
    <row r="24" spans="1:40" x14ac:dyDescent="0.25">
      <c r="A24" t="s">
        <v>98</v>
      </c>
      <c r="B24" s="101">
        <f>INDEX(Master_Table[],MATCH(Simulator!E41,Master_Table[P/N],0),COLUMN(Master_Table[Typical Lumens]))</f>
        <v>627</v>
      </c>
      <c r="C24" s="106">
        <f>INDEX(Master_Table[],MATCH(Simulator!$E41,Master_Table[P/N],0),COLUMN(Master_Table[K^4]))</f>
        <v>1.8089828595020265E-9</v>
      </c>
      <c r="D24" s="106">
        <f>INDEX(Master_Table[],MATCH(Simulator!$E41,Master_Table[P/N],0),COLUMN(Master_Table[K^3]))</f>
        <v>-1.5300963254309649E-5</v>
      </c>
      <c r="E24" s="106">
        <f>INDEX(Master_Table[],MATCH(Simulator!$E41,Master_Table[P/N],0),COLUMN(Master_Table[K^2]))</f>
        <v>4.8307059621455581E-2</v>
      </c>
      <c r="F24" s="106">
        <f>INDEX(Master_Table[],MATCH(Simulator!$E41,Master_Table[P/N],0),COLUMN(Master_Table[K^1]))</f>
        <v>-67.24666748668308</v>
      </c>
      <c r="G24" s="106">
        <f>INDEX(Master_Table[],MATCH(Simulator!$E41,Master_Table[P/N],0),COLUMN(Master_Table[K^0]))</f>
        <v>34789.640964675062</v>
      </c>
      <c r="H24" s="221" t="str">
        <f t="shared" ref="H24:H32" si="16">IF(D$2&lt;K$1,(C24*D$2^4+D24*D$2^3+E24*D$2^2+F24*D$2^1+G24),"0")</f>
        <v>0</v>
      </c>
      <c r="I24" s="112">
        <f>INDEX(Master_Table[],MATCH(Simulator!$E41,Master_Table[P/N],0),COLUMN(Master_Table[K^42]))</f>
        <v>1.8089828595020265E-9</v>
      </c>
      <c r="J24" s="106">
        <f>INDEX(Master_Table[],MATCH(Simulator!$E41,Master_Table[P/N],0),COLUMN(Master_Table[K^32]))</f>
        <v>-1.5300963254309649E-5</v>
      </c>
      <c r="K24" s="106">
        <f>INDEX(Master_Table[],MATCH(Simulator!$E41,Master_Table[P/N],0),COLUMN(Master_Table[K^22]))</f>
        <v>4.8307059621455581E-2</v>
      </c>
      <c r="L24" s="106">
        <f>INDEX(Master_Table[],MATCH(Simulator!$E41,Master_Table[P/N],0),COLUMN(Master_Table[K^12]))</f>
        <v>-67.24666748668308</v>
      </c>
      <c r="M24" s="106">
        <f>INDEX(Master_Table[],MATCH(Simulator!$E41,Master_Table[P/N],0),COLUMN(Master_Table[K^02]))</f>
        <v>34789.640964675062</v>
      </c>
      <c r="N24" s="221">
        <f t="shared" ref="N24:N32" si="17">IF(D$2&gt;K$1,(I24*D$2^4+J24*D$2^3+K24*D$2^2+L24*D$2^1+M24),0)</f>
        <v>350.00964012675831</v>
      </c>
      <c r="O24" s="264">
        <f>IF((H24+N24)&gt;0,IF(Simulator!N38=1800,Simulator!N41,MROUND(N24+H24,5)),0)</f>
        <v>350</v>
      </c>
      <c r="P24" s="73"/>
      <c r="Q24" s="101">
        <f>INDEX(Master_Table[],MATCH(Simulator!$E41,Master_Table[P/N],0),COLUMN(Master_Table[V^4]))</f>
        <v>-8.376945271258572E-10</v>
      </c>
      <c r="R24" s="191">
        <f>INDEX(Master_Table[],MATCH(Simulator!$E41,Master_Table[P/N],0),COLUMN(Master_Table[V^3]))</f>
        <v>8.9384798476104261E-7</v>
      </c>
      <c r="S24" s="191">
        <f>INDEX(Master_Table[],MATCH(Simulator!$E41,Master_Table[P/N],0),COLUMN(Master_Table[V^2]))</f>
        <v>-3.4918548154403849E-4</v>
      </c>
      <c r="T24" s="191">
        <f>INDEX(Master_Table[],MATCH(Simulator!$E41,Master_Table[P/N],0),COLUMN(Master_Table[V]))</f>
        <v>6.7662061532231255E-2</v>
      </c>
      <c r="U24" s="191">
        <f>INDEX(Master_Table[],MATCH(Simulator!$E41,Master_Table[P/N],0),COLUMN(Master_Table[V0]))</f>
        <v>10.340421103916475</v>
      </c>
      <c r="V24" s="219">
        <f>Q24*O24*O24*O24*O24+R24*O24*O24*O24+S24*O24*O24+T24*O24+U24</f>
        <v>17.000000000000007</v>
      </c>
      <c r="W24" s="114">
        <f>(F$1-25)*INDEX(Master_Table[],MATCH(Simulator!$E41,Master_Table[P/N],0),COLUMN(Master_Table[dV/dT (mV/C)]))/1000</f>
        <v>0</v>
      </c>
      <c r="X24" s="114">
        <f t="shared" ref="X24:X29" si="18">V24+W24</f>
        <v>17.000000000000007</v>
      </c>
      <c r="Y24" s="74"/>
      <c r="Z24" s="101">
        <f>INDEX(Master_Table[],MATCH(Simulator!$E41,Master_Table[P/N],0),COLUMN(Master_Table[I^4]))</f>
        <v>2.5527298190086784E-12</v>
      </c>
      <c r="AA24" s="191">
        <f>INDEX(Master_Table[],MATCH(Simulator!$E41,Master_Table[P/N],0),COLUMN(Master_Table[I^3]))</f>
        <v>-1.1222752115618928E-8</v>
      </c>
      <c r="AB24" s="191">
        <f>INDEX(Master_Table[],MATCH(Simulator!$E41,Master_Table[P/N],0),COLUMN(Master_Table[I^2]))</f>
        <v>7.7450141538800007E-6</v>
      </c>
      <c r="AC24" s="191">
        <f>INDEX(Master_Table[],MATCH(Simulator!$E41,Master_Table[P/N],0),COLUMN(Master_Table[I]))</f>
        <v>1.4039619916702939E-3</v>
      </c>
      <c r="AD24" s="191">
        <f>INDEX(Master_Table[],MATCH(Simulator!$E41,Master_Table[P/N],0),COLUMN(Master_Table[I0]))</f>
        <v>2.7144267987603832E-3</v>
      </c>
      <c r="AE24" s="223">
        <f>Z24*O24^4+AA24*O24^3+AB24*O24^2+AC24*O24^1+AD24</f>
        <v>0.99999676262300086</v>
      </c>
      <c r="AF24" s="221">
        <f t="shared" ref="AF24:AF32" si="19">AE24*B24*N5</f>
        <v>626.99797016462162</v>
      </c>
      <c r="AG24" s="74"/>
      <c r="AH24" s="74"/>
      <c r="AI24" s="74"/>
      <c r="AJ24" s="74"/>
      <c r="AK24" s="3"/>
      <c r="AL24" s="3"/>
      <c r="AM24" s="3"/>
    </row>
    <row r="25" spans="1:40" x14ac:dyDescent="0.25">
      <c r="A25" t="s">
        <v>99</v>
      </c>
      <c r="B25" s="77">
        <f>INDEX(Master_Table[],MATCH(Simulator!E42,Master_Table[P/N],0),COLUMN(Master_Table[Typical Lumens]))</f>
        <v>438</v>
      </c>
      <c r="C25" s="4">
        <f>INDEX(Master_Table[],MATCH(Simulator!$E42,Master_Table[P/N],0),COLUMN(Master_Table[K^4]))</f>
        <v>0</v>
      </c>
      <c r="D25" s="4">
        <f>INDEX(Master_Table[],MATCH(Simulator!$E42,Master_Table[P/N],0),COLUMN(Master_Table[K^3]))</f>
        <v>3.3589999999999998E-7</v>
      </c>
      <c r="E25" s="4">
        <f>INDEX(Master_Table[],MATCH(Simulator!$E42,Master_Table[P/N],0),COLUMN(Master_Table[K^2]))</f>
        <v>-2.0495000000000001E-3</v>
      </c>
      <c r="F25" s="4">
        <f>INDEX(Master_Table[],MATCH(Simulator!$E42,Master_Table[P/N],0),COLUMN(Master_Table[K^1]))</f>
        <v>4.2827000000000002</v>
      </c>
      <c r="G25" s="4">
        <f>INDEX(Master_Table[],MATCH(Simulator!$E42,Master_Table[P/N],0),COLUMN(Master_Table[K^0]))</f>
        <v>-3013.7</v>
      </c>
      <c r="H25" s="102" t="str">
        <f t="shared" si="16"/>
        <v>0</v>
      </c>
      <c r="I25" s="113">
        <f>INDEX(Master_Table[],MATCH(Simulator!$E42,Master_Table[P/N],0),COLUMN(Master_Table[K^42]))</f>
        <v>0</v>
      </c>
      <c r="J25" s="4">
        <f>INDEX(Master_Table[],MATCH(Simulator!$E42,Master_Table[P/N],0),COLUMN(Master_Table[K^32]))</f>
        <v>0</v>
      </c>
      <c r="K25" s="4">
        <f>INDEX(Master_Table[],MATCH(Simulator!$E42,Master_Table[P/N],0),COLUMN(Master_Table[K^22]))</f>
        <v>-8.3889999999999995E-4</v>
      </c>
      <c r="L25" s="4">
        <f>INDEX(Master_Table[],MATCH(Simulator!$E42,Master_Table[P/N],0),COLUMN(Master_Table[K^12]))</f>
        <v>5.6902999999999997</v>
      </c>
      <c r="M25" s="4">
        <f>INDEX(Master_Table[],MATCH(Simulator!$E42,Master_Table[P/N],0),COLUMN(Master_Table[K^02]))</f>
        <v>-8998.2999999999993</v>
      </c>
      <c r="N25" s="102">
        <f t="shared" si="17"/>
        <v>249.92900000000009</v>
      </c>
      <c r="O25" s="251">
        <f>IF((H25+N25)&gt;0,IF(Simulator!$N$38=1800,Simulator!N42,MROUND(N25+H25,5)),0)</f>
        <v>250</v>
      </c>
      <c r="P25" s="116"/>
      <c r="Q25" s="77">
        <f>INDEX(Master_Table[],MATCH(Simulator!$E42,Master_Table[P/N],0),COLUMN(Master_Table[V^4]))</f>
        <v>-3.0167959188950945E-9</v>
      </c>
      <c r="R25" s="254">
        <f>INDEX(Master_Table[],MATCH(Simulator!$E42,Master_Table[P/N],0),COLUMN(Master_Table[V^3]))</f>
        <v>2.3342165607486289E-6</v>
      </c>
      <c r="S25" s="254">
        <f>INDEX(Master_Table[],MATCH(Simulator!$E42,Master_Table[P/N],0),COLUMN(Master_Table[V^2]))</f>
        <v>-6.6635585775587348E-4</v>
      </c>
      <c r="T25" s="254">
        <f>INDEX(Master_Table[],MATCH(Simulator!$E42,Master_Table[P/N],0),COLUMN(Master_Table[V]))</f>
        <v>9.5928073054976568E-2</v>
      </c>
      <c r="U25" s="254">
        <f>INDEX(Master_Table[],MATCH(Simulator!$E42,Master_Table[P/N],0),COLUMN(Master_Table[V0]))</f>
        <v>9.9774481424845956</v>
      </c>
      <c r="V25" s="217">
        <f t="shared" ref="V25:V31" si="20">Q25*O25*O25*O25*O25+R25*O25*O25*O25+S25*O25*O25+T25*O25+U25</f>
        <v>17.000000000000014</v>
      </c>
      <c r="W25" s="109">
        <f>(F$1-25)*INDEX(Master_Table[],MATCH(Simulator!$E42,Master_Table[P/N],0),COLUMN(Master_Table[dV/dT (mV/C)]))/1000</f>
        <v>0</v>
      </c>
      <c r="X25" s="109">
        <f t="shared" si="18"/>
        <v>17.000000000000014</v>
      </c>
      <c r="Y25" s="116"/>
      <c r="Z25" s="77">
        <f>INDEX(Master_Table[],MATCH(Simulator!$E42,Master_Table[P/N],0),COLUMN(Master_Table[I^4]))</f>
        <v>-1.5049654997828334E-12</v>
      </c>
      <c r="AA25" s="254">
        <f>INDEX(Master_Table[],MATCH(Simulator!$E42,Master_Table[P/N],0),COLUMN(Master_Table[I^3]))</f>
        <v>-2.2721906642875206E-8</v>
      </c>
      <c r="AB25" s="254">
        <f>INDEX(Master_Table[],MATCH(Simulator!$E42,Master_Table[P/N],0),COLUMN(Master_Table[I^2]))</f>
        <v>1.3244252285598832E-5</v>
      </c>
      <c r="AC25" s="254">
        <f>INDEX(Master_Table[],MATCH(Simulator!$E42,Master_Table[P/N],0),COLUMN(Master_Table[I]))</f>
        <v>2.1344749988985432E-3</v>
      </c>
      <c r="AD25" s="254">
        <f>INDEX(Master_Table[],MATCH(Simulator!$E42,Master_Table[P/N],0),COLUMN(Master_Table[I0]))</f>
        <v>-4.5144071261465262E-4</v>
      </c>
      <c r="AE25" s="111">
        <f t="shared" ref="AE25:AE31" si="21">Z25*O25^4+AA25*O25^3+AB25*O25^2+AC25*O25^1+AD25</f>
        <v>1.0000245140834965</v>
      </c>
      <c r="AF25" s="102">
        <f t="shared" si="19"/>
        <v>438.01073716857144</v>
      </c>
      <c r="AG25" s="116"/>
      <c r="AH25" s="116"/>
      <c r="AI25" s="116"/>
      <c r="AJ25" s="116"/>
      <c r="AK25" s="3"/>
      <c r="AL25" s="3"/>
      <c r="AM25" s="3"/>
    </row>
    <row r="26" spans="1:40" x14ac:dyDescent="0.25">
      <c r="A26" t="s">
        <v>100</v>
      </c>
      <c r="B26" s="77">
        <f>INDEX(Master_Table[],MATCH(Simulator!E43,Master_Table[P/N],0),COLUMN(Master_Table[Typical Lumens]))</f>
        <v>613</v>
      </c>
      <c r="C26" s="4">
        <f>INDEX(Master_Table[],MATCH(Simulator!$E43,Master_Table[P/N],0),COLUMN(Master_Table[K^4]))</f>
        <v>1.8089828595020265E-9</v>
      </c>
      <c r="D26" s="4">
        <f>INDEX(Master_Table[],MATCH(Simulator!$E43,Master_Table[P/N],0),COLUMN(Master_Table[K^3]))</f>
        <v>-1.5300963254309649E-5</v>
      </c>
      <c r="E26" s="4">
        <f>INDEX(Master_Table[],MATCH(Simulator!$E43,Master_Table[P/N],0),COLUMN(Master_Table[K^2]))</f>
        <v>4.8307059621455581E-2</v>
      </c>
      <c r="F26" s="4">
        <f>INDEX(Master_Table[],MATCH(Simulator!$E43,Master_Table[P/N],0),COLUMN(Master_Table[K^1]))</f>
        <v>-67.24666748668308</v>
      </c>
      <c r="G26" s="4">
        <f>INDEX(Master_Table[],MATCH(Simulator!$E43,Master_Table[P/N],0),COLUMN(Master_Table[K^0]))</f>
        <v>34789.640964675062</v>
      </c>
      <c r="H26" s="102" t="str">
        <f t="shared" si="16"/>
        <v>0</v>
      </c>
      <c r="I26" s="113">
        <f>INDEX(Master_Table[],MATCH(Simulator!$E43,Master_Table[P/N],0),COLUMN(Master_Table[K^42]))</f>
        <v>1.8089828595020265E-9</v>
      </c>
      <c r="J26" s="4">
        <f>INDEX(Master_Table[],MATCH(Simulator!$E43,Master_Table[P/N],0),COLUMN(Master_Table[K^32]))</f>
        <v>-1.5300963254309649E-5</v>
      </c>
      <c r="K26" s="4">
        <f>INDEX(Master_Table[],MATCH(Simulator!$E43,Master_Table[P/N],0),COLUMN(Master_Table[K^22]))</f>
        <v>4.8307059621455581E-2</v>
      </c>
      <c r="L26" s="4">
        <f>INDEX(Master_Table[],MATCH(Simulator!$E43,Master_Table[P/N],0),COLUMN(Master_Table[K^12]))</f>
        <v>-67.24666748668308</v>
      </c>
      <c r="M26" s="4">
        <f>INDEX(Master_Table[],MATCH(Simulator!$E43,Master_Table[P/N],0),COLUMN(Master_Table[K^02]))</f>
        <v>34789.640964675062</v>
      </c>
      <c r="N26" s="102">
        <f t="shared" si="17"/>
        <v>350.00964012675831</v>
      </c>
      <c r="O26" s="251">
        <f>IF((H26+N26)&gt;0,IF(Simulator!$N$38=1800,Simulator!N43,MROUND(N26+H26,5)),0)</f>
        <v>350</v>
      </c>
      <c r="P26" s="74"/>
      <c r="Q26" s="77">
        <f>INDEX(Master_Table[],MATCH(Simulator!$E43,Master_Table[P/N],0),COLUMN(Master_Table[V^4]))</f>
        <v>-8.376945271258572E-10</v>
      </c>
      <c r="R26" s="254">
        <f>INDEX(Master_Table[],MATCH(Simulator!$E43,Master_Table[P/N],0),COLUMN(Master_Table[V^3]))</f>
        <v>8.9384798476104261E-7</v>
      </c>
      <c r="S26" s="254">
        <f>INDEX(Master_Table[],MATCH(Simulator!$E43,Master_Table[P/N],0),COLUMN(Master_Table[V^2]))</f>
        <v>-3.4918548154403849E-4</v>
      </c>
      <c r="T26" s="254">
        <f>INDEX(Master_Table[],MATCH(Simulator!$E43,Master_Table[P/N],0),COLUMN(Master_Table[V]))</f>
        <v>6.7662061532231255E-2</v>
      </c>
      <c r="U26" s="254">
        <f>INDEX(Master_Table[],MATCH(Simulator!$E43,Master_Table[P/N],0),COLUMN(Master_Table[V0]))</f>
        <v>10.340421103916475</v>
      </c>
      <c r="V26" s="217">
        <f t="shared" si="20"/>
        <v>17.000000000000007</v>
      </c>
      <c r="W26" s="109">
        <f>(F$1-25)*INDEX(Master_Table[],MATCH(Simulator!$E43,Master_Table[P/N],0),COLUMN(Master_Table[dV/dT (mV/C)]))/1000</f>
        <v>0</v>
      </c>
      <c r="X26" s="109">
        <f t="shared" si="18"/>
        <v>17.000000000000007</v>
      </c>
      <c r="Y26" s="74"/>
      <c r="Z26" s="77">
        <f>INDEX(Master_Table[],MATCH(Simulator!$E43,Master_Table[P/N],0),COLUMN(Master_Table[I^4]))</f>
        <v>2.0563232639415106E-12</v>
      </c>
      <c r="AA26" s="254">
        <f>INDEX(Master_Table[],MATCH(Simulator!$E43,Master_Table[P/N],0),COLUMN(Master_Table[I^3]))</f>
        <v>-1.1547329885441754E-8</v>
      </c>
      <c r="AB26" s="254">
        <f>INDEX(Master_Table[],MATCH(Simulator!$E43,Master_Table[P/N],0),COLUMN(Master_Table[I^2]))</f>
        <v>8.1130316176974384E-6</v>
      </c>
      <c r="AC26" s="254">
        <f>INDEX(Master_Table[],MATCH(Simulator!$E43,Master_Table[P/N],0),COLUMN(Master_Table[I]))</f>
        <v>1.3363941338751929E-3</v>
      </c>
      <c r="AD26" s="254">
        <f>INDEX(Master_Table[],MATCH(Simulator!$E43,Master_Table[P/N],0),COLUMN(Master_Table[I0]))</f>
        <v>2.5720255218239819E-3</v>
      </c>
      <c r="AE26" s="111">
        <f t="shared" si="21"/>
        <v>0.99992227768728481</v>
      </c>
      <c r="AF26" s="102">
        <f t="shared" si="19"/>
        <v>612.95235622230564</v>
      </c>
      <c r="AG26" s="74"/>
      <c r="AH26" s="74"/>
      <c r="AI26" s="74"/>
      <c r="AJ26" s="74"/>
      <c r="AK26" s="3"/>
      <c r="AL26" s="3"/>
      <c r="AM26" s="3"/>
    </row>
    <row r="27" spans="1:40" x14ac:dyDescent="0.25">
      <c r="A27" t="s">
        <v>101</v>
      </c>
      <c r="B27" s="77">
        <f>INDEX(Master_Table[],MATCH(Simulator!E44,Master_Table[P/N],0),COLUMN(Master_Table[Typical Lumens]))</f>
        <v>1242</v>
      </c>
      <c r="C27" s="4">
        <f>INDEX(Master_Table[],MATCH(Simulator!$E44,Master_Table[P/N],0),COLUMN(Master_Table[K^4]))</f>
        <v>1.8089828595020265E-9</v>
      </c>
      <c r="D27" s="4">
        <f>INDEX(Master_Table[],MATCH(Simulator!$E44,Master_Table[P/N],0),COLUMN(Master_Table[K^3]))</f>
        <v>-1.5300963254309649E-5</v>
      </c>
      <c r="E27" s="4">
        <f>INDEX(Master_Table[],MATCH(Simulator!$E44,Master_Table[P/N],0),COLUMN(Master_Table[K^2]))</f>
        <v>4.8307059621455581E-2</v>
      </c>
      <c r="F27" s="4">
        <f>INDEX(Master_Table[],MATCH(Simulator!$E44,Master_Table[P/N],0),COLUMN(Master_Table[K^1]))</f>
        <v>-67.24666748668308</v>
      </c>
      <c r="G27" s="4">
        <f>INDEX(Master_Table[],MATCH(Simulator!$E44,Master_Table[P/N],0),COLUMN(Master_Table[K^0]))</f>
        <v>34789.640964675062</v>
      </c>
      <c r="H27" s="102" t="str">
        <f t="shared" si="16"/>
        <v>0</v>
      </c>
      <c r="I27" s="113">
        <f>INDEX(Master_Table[],MATCH(Simulator!$E44,Master_Table[P/N],0),COLUMN(Master_Table[K^42]))</f>
        <v>1.8089828595020265E-9</v>
      </c>
      <c r="J27" s="4">
        <f>INDEX(Master_Table[],MATCH(Simulator!$E44,Master_Table[P/N],0),COLUMN(Master_Table[K^32]))</f>
        <v>-1.5300963254309649E-5</v>
      </c>
      <c r="K27" s="4">
        <f>INDEX(Master_Table[],MATCH(Simulator!$E44,Master_Table[P/N],0),COLUMN(Master_Table[K^22]))</f>
        <v>4.8307059621455581E-2</v>
      </c>
      <c r="L27" s="4">
        <f>INDEX(Master_Table[],MATCH(Simulator!$E44,Master_Table[P/N],0),COLUMN(Master_Table[K^12]))</f>
        <v>-67.24666748668308</v>
      </c>
      <c r="M27" s="4">
        <f>INDEX(Master_Table[],MATCH(Simulator!$E44,Master_Table[P/N],0),COLUMN(Master_Table[K^02]))</f>
        <v>34789.640964675062</v>
      </c>
      <c r="N27" s="102">
        <f t="shared" si="17"/>
        <v>350.00964012675831</v>
      </c>
      <c r="O27" s="251">
        <f>IF((H27+N27)&gt;0,IF(Simulator!$N$38=1800,Simulator!N44,MROUND(N27+H27,5)),0)</f>
        <v>350</v>
      </c>
      <c r="P27" s="74"/>
      <c r="Q27" s="77">
        <f>INDEX(Master_Table[],MATCH(Simulator!$E44,Master_Table[P/N],0),COLUMN(Master_Table[V^4]))</f>
        <v>-1.0263070615851712E-9</v>
      </c>
      <c r="R27" s="254">
        <f>INDEX(Master_Table[],MATCH(Simulator!$E44,Master_Table[P/N],0),COLUMN(Master_Table[V^3]))</f>
        <v>1.0987480245458821E-6</v>
      </c>
      <c r="S27" s="254">
        <f>INDEX(Master_Table[],MATCH(Simulator!$E44,Master_Table[P/N],0),COLUMN(Master_Table[V^2]))</f>
        <v>-4.3082205675544721E-4</v>
      </c>
      <c r="T27" s="254">
        <f>INDEX(Master_Table[],MATCH(Simulator!$E44,Master_Table[P/N],0),COLUMN(Master_Table[V]))</f>
        <v>8.2958507290343014E-2</v>
      </c>
      <c r="U27" s="254">
        <f>INDEX(Master_Table[],MATCH(Simulator!$E44,Master_Table[P/N],0),COLUMN(Master_Table[V0]))</f>
        <v>25.832423191430003</v>
      </c>
      <c r="V27" s="217">
        <f t="shared" si="20"/>
        <v>33.79999999999999</v>
      </c>
      <c r="W27" s="109">
        <f>(F$1-25)*INDEX(Master_Table[],MATCH(Simulator!$E44,Master_Table[P/N],0),COLUMN(Master_Table[dV/dT (mV/C)]))/1000</f>
        <v>0</v>
      </c>
      <c r="X27" s="109">
        <f t="shared" si="18"/>
        <v>33.79999999999999</v>
      </c>
      <c r="Y27" s="74"/>
      <c r="Z27" s="77">
        <f>INDEX(Master_Table[],MATCH(Simulator!$E44,Master_Table[P/N],0),COLUMN(Master_Table[I^4]))</f>
        <v>7.0452527036719384E-12</v>
      </c>
      <c r="AA27" s="254">
        <f>INDEX(Master_Table[],MATCH(Simulator!$E44,Master_Table[P/N],0),COLUMN(Master_Table[I^3]))</f>
        <v>-1.6567569708292668E-8</v>
      </c>
      <c r="AB27" s="254">
        <f>INDEX(Master_Table[],MATCH(Simulator!$E44,Master_Table[P/N],0),COLUMN(Master_Table[I^2]))</f>
        <v>9.7826352007825322E-6</v>
      </c>
      <c r="AC27" s="254">
        <f>INDEX(Master_Table[],MATCH(Simulator!$E44,Master_Table[P/N],0),COLUMN(Master_Table[I]))</f>
        <v>1.1347443057740242E-3</v>
      </c>
      <c r="AD27" s="254">
        <f>INDEX(Master_Table[],MATCH(Simulator!$E44,Master_Table[P/N],0),COLUMN(Master_Table[I0]))</f>
        <v>8.8121211675696587E-3</v>
      </c>
      <c r="AE27" s="111">
        <f t="shared" si="21"/>
        <v>0.99973371242576714</v>
      </c>
      <c r="AF27" s="102">
        <f t="shared" si="19"/>
        <v>1241.6692708328028</v>
      </c>
      <c r="AG27" s="74"/>
      <c r="AH27" s="74"/>
      <c r="AI27" s="74"/>
      <c r="AJ27" s="74"/>
      <c r="AK27" s="73"/>
      <c r="AL27" s="3"/>
      <c r="AM27" s="3"/>
    </row>
    <row r="28" spans="1:40" x14ac:dyDescent="0.25">
      <c r="A28" t="s">
        <v>102</v>
      </c>
      <c r="B28" s="77">
        <f>INDEX(Master_Table[],MATCH(Simulator!E45,Master_Table[P/N],0),COLUMN(Master_Table[Typical Lumens]))</f>
        <v>2111</v>
      </c>
      <c r="C28" s="4">
        <f>INDEX(Master_Table[],MATCH(Simulator!$E45,Master_Table[P/N],0),COLUMN(Master_Table[K^4]))</f>
        <v>3.8233560680488095E-9</v>
      </c>
      <c r="D28" s="4">
        <f>INDEX(Master_Table[],MATCH(Simulator!$E45,Master_Table[P/N],0),COLUMN(Master_Table[K^3]))</f>
        <v>-3.2602739507169819E-5</v>
      </c>
      <c r="E28" s="4">
        <f>INDEX(Master_Table[],MATCH(Simulator!$E45,Master_Table[P/N],0),COLUMN(Master_Table[K^2]))</f>
        <v>0.10394441584752064</v>
      </c>
      <c r="F28" s="4">
        <f>INDEX(Master_Table[],MATCH(Simulator!$E45,Master_Table[P/N],0),COLUMN(Master_Table[K^1]))</f>
        <v>-146.51913074557123</v>
      </c>
      <c r="G28" s="4">
        <f>INDEX(Master_Table[],MATCH(Simulator!$E45,Master_Table[P/N],0),COLUMN(Master_Table[K^0]))</f>
        <v>76977.847032519712</v>
      </c>
      <c r="H28" s="102" t="str">
        <f t="shared" si="16"/>
        <v>0</v>
      </c>
      <c r="I28" s="113">
        <f>INDEX(Master_Table[],MATCH(Simulator!$E45,Master_Table[P/N],0),COLUMN(Master_Table[K^42]))</f>
        <v>3.8233560680488095E-9</v>
      </c>
      <c r="J28" s="4">
        <f>INDEX(Master_Table[],MATCH(Simulator!$E45,Master_Table[P/N],0),COLUMN(Master_Table[K^32]))</f>
        <v>-3.2602739507169819E-5</v>
      </c>
      <c r="K28" s="4">
        <f>INDEX(Master_Table[],MATCH(Simulator!$E45,Master_Table[P/N],0),COLUMN(Master_Table[K^22]))</f>
        <v>0.10394441584752064</v>
      </c>
      <c r="L28" s="4">
        <f>INDEX(Master_Table[],MATCH(Simulator!$E45,Master_Table[P/N],0),COLUMN(Master_Table[K^12]))</f>
        <v>-146.51913074557123</v>
      </c>
      <c r="M28" s="4">
        <f>INDEX(Master_Table[],MATCH(Simulator!$E45,Master_Table[P/N],0),COLUMN(Master_Table[K^02]))</f>
        <v>76977.847032519712</v>
      </c>
      <c r="N28" s="102">
        <f t="shared" si="17"/>
        <v>600.08104427195212</v>
      </c>
      <c r="O28" s="251">
        <f>IF((H28+N28)&gt;0,IF(Simulator!$N$38=1800,Simulator!N45,MROUND(N28+H28,5)),0)</f>
        <v>600</v>
      </c>
      <c r="P28" s="74"/>
      <c r="Q28" s="77">
        <f>INDEX(Master_Table[],MATCH(Simulator!$E45,Master_Table[P/N],0),COLUMN(Master_Table[V^4]))</f>
        <v>-1.2470292830594369E-10</v>
      </c>
      <c r="R28" s="254">
        <f>INDEX(Master_Table[],MATCH(Simulator!$E45,Master_Table[P/N],0),COLUMN(Master_Table[V^3]))</f>
        <v>2.2734000912019639E-7</v>
      </c>
      <c r="S28" s="254">
        <f>INDEX(Master_Table[],MATCH(Simulator!$E45,Master_Table[P/N],0),COLUMN(Master_Table[V^2]))</f>
        <v>-1.5056316798366467E-4</v>
      </c>
      <c r="T28" s="254">
        <f>INDEX(Master_Table[],MATCH(Simulator!$E45,Master_Table[P/N],0),COLUMN(Master_Table[V]))</f>
        <v>4.7938591121228488E-2</v>
      </c>
      <c r="U28" s="254">
        <f>INDEX(Master_Table[],MATCH(Simulator!$E45,Master_Table[P/N],0),COLUMN(Master_Table[V0]))</f>
        <v>26.000184370165666</v>
      </c>
      <c r="V28" s="217">
        <f t="shared" si="20"/>
        <v>33.504541030295599</v>
      </c>
      <c r="W28" s="109">
        <f>(F$1-25)*INDEX(Master_Table[],MATCH(Simulator!$E45,Master_Table[P/N],0),COLUMN(Master_Table[dV/dT (mV/C)]))/1000</f>
        <v>0</v>
      </c>
      <c r="X28" s="109">
        <f t="shared" si="18"/>
        <v>33.504541030295599</v>
      </c>
      <c r="Y28" s="74"/>
      <c r="Z28" s="77">
        <f>INDEX(Master_Table[],MATCH(Simulator!$E45,Master_Table[P/N],0),COLUMN(Master_Table[I^4]))</f>
        <v>-2.421962082336712E-13</v>
      </c>
      <c r="AA28" s="254">
        <f>INDEX(Master_Table[],MATCH(Simulator!$E45,Master_Table[P/N],0),COLUMN(Master_Table[I^3]))</f>
        <v>-7.4249550196922771E-10</v>
      </c>
      <c r="AB28" s="254">
        <f>INDEX(Master_Table[],MATCH(Simulator!$E45,Master_Table[P/N],0),COLUMN(Master_Table[I^2]))</f>
        <v>1.2355486467678302E-6</v>
      </c>
      <c r="AC28" s="254">
        <f>INDEX(Master_Table[],MATCH(Simulator!$E45,Master_Table[P/N],0),COLUMN(Master_Table[I]))</f>
        <v>1.2505421601140371E-3</v>
      </c>
      <c r="AD28" s="254">
        <f>INDEX(Master_Table[],MATCH(Simulator!$E45,Master_Table[P/N],0),COLUMN(Master_Table[I0]))</f>
        <v>-3.2333080334528211E-3</v>
      </c>
      <c r="AE28" s="111">
        <f t="shared" si="21"/>
        <v>1.0001218438589514</v>
      </c>
      <c r="AF28" s="102">
        <f t="shared" si="19"/>
        <v>2111.2572123862465</v>
      </c>
      <c r="AG28" s="74"/>
      <c r="AH28" s="74"/>
      <c r="AI28" s="74"/>
      <c r="AJ28" s="74"/>
      <c r="AK28" s="3"/>
      <c r="AL28" s="3"/>
      <c r="AM28" s="3"/>
    </row>
    <row r="29" spans="1:40" x14ac:dyDescent="0.25">
      <c r="A29" t="s">
        <v>103</v>
      </c>
      <c r="B29" s="77">
        <f>INDEX(Master_Table[],MATCH(Simulator!E46,Master_Table[P/N],0),COLUMN(Master_Table[Typical Lumens]))</f>
        <v>3401</v>
      </c>
      <c r="C29" s="4">
        <f>INDEX(Master_Table[],MATCH(Simulator!$E46,Master_Table[P/N],0),COLUMN(Master_Table[K^4]))</f>
        <v>1.9007723670250783E-9</v>
      </c>
      <c r="D29" s="4">
        <f>INDEX(Master_Table[],MATCH(Simulator!$E46,Master_Table[P/N],0),COLUMN(Master_Table[K^3]))</f>
        <v>-1.4449568915861593E-5</v>
      </c>
      <c r="E29" s="4">
        <f>INDEX(Master_Table[],MATCH(Simulator!$E46,Master_Table[P/N],0),COLUMN(Master_Table[K^2]))</f>
        <v>4.0374849957779499E-2</v>
      </c>
      <c r="F29" s="4">
        <f>INDEX(Master_Table[],MATCH(Simulator!$E46,Master_Table[P/N],0),COLUMN(Master_Table[K^1]))</f>
        <v>-48.342238102925918</v>
      </c>
      <c r="G29" s="4">
        <f>INDEX(Master_Table[],MATCH(Simulator!$E46,Master_Table[P/N],0),COLUMN(Master_Table[K^0]))</f>
        <v>20537.464413937654</v>
      </c>
      <c r="H29" s="280" t="str">
        <f t="shared" si="16"/>
        <v>0</v>
      </c>
      <c r="I29" s="113">
        <f>INDEX(Master_Table[],MATCH(Simulator!$E46,Master_Table[P/N],0),COLUMN(Master_Table[K^42]))</f>
        <v>1.9007723670250783E-9</v>
      </c>
      <c r="J29" s="4">
        <f>INDEX(Master_Table[],MATCH(Simulator!$E46,Master_Table[P/N],0),COLUMN(Master_Table[K^32]))</f>
        <v>-1.4449568915861593E-5</v>
      </c>
      <c r="K29" s="4">
        <f>INDEX(Master_Table[],MATCH(Simulator!$E46,Master_Table[P/N],0),COLUMN(Master_Table[K^22]))</f>
        <v>4.0374849957779499E-2</v>
      </c>
      <c r="L29" s="4">
        <f>INDEX(Master_Table[],MATCH(Simulator!$E46,Master_Table[P/N],0),COLUMN(Master_Table[K^12]))</f>
        <v>-48.342238102925918</v>
      </c>
      <c r="M29" s="4">
        <f>INDEX(Master_Table[],MATCH(Simulator!$E46,Master_Table[P/N],0),COLUMN(Master_Table[K^02]))</f>
        <v>20537.464413937654</v>
      </c>
      <c r="N29" s="280">
        <f t="shared" si="17"/>
        <v>950.04950776397163</v>
      </c>
      <c r="O29" s="251">
        <f>IF((H29+N29)&gt;0,IF(Simulator!$N$38=1800,Simulator!N46,MROUND(N29+H29,5)),0)</f>
        <v>950</v>
      </c>
      <c r="P29" s="74"/>
      <c r="Q29" s="77">
        <f>INDEX(Master_Table[],MATCH(Simulator!$E46,Master_Table[P/N],0),COLUMN(Master_Table[V^4]))</f>
        <v>-3.5422555345437313E-11</v>
      </c>
      <c r="R29" s="254">
        <f>INDEX(Master_Table[],MATCH(Simulator!$E46,Master_Table[P/N],0),COLUMN(Master_Table[V^3]))</f>
        <v>9.4330500076400081E-8</v>
      </c>
      <c r="S29" s="254">
        <f>INDEX(Master_Table[],MATCH(Simulator!$E46,Master_Table[P/N],0),COLUMN(Master_Table[V^2]))</f>
        <v>-9.006243448252024E-5</v>
      </c>
      <c r="T29" s="254">
        <f>INDEX(Master_Table[],MATCH(Simulator!$E46,Master_Table[P/N],0),COLUMN(Master_Table[V]))</f>
        <v>3.9711545730505921E-2</v>
      </c>
      <c r="U29" s="254">
        <f>INDEX(Master_Table[],MATCH(Simulator!$E46,Master_Table[P/N],0),COLUMN(Master_Table[V0]))</f>
        <v>25.6416864529936</v>
      </c>
      <c r="V29" s="217">
        <f t="shared" si="20"/>
        <v>34.11102755967363</v>
      </c>
      <c r="W29" s="109">
        <f>(F$1-25)*INDEX(Master_Table[],MATCH(Simulator!$E46,Master_Table[P/N],0),COLUMN(Master_Table[dV/dT (mV/C)]))/1000</f>
        <v>0</v>
      </c>
      <c r="X29" s="109">
        <f t="shared" si="18"/>
        <v>34.11102755967363</v>
      </c>
      <c r="Y29" s="74"/>
      <c r="Z29" s="77">
        <f>INDEX(Master_Table[],MATCH(Simulator!$E46,Master_Table[P/N],0),COLUMN(Master_Table[I^4]))</f>
        <v>-1.9231261965129578E-14</v>
      </c>
      <c r="AA29" s="254">
        <f>INDEX(Master_Table[],MATCH(Simulator!$E46,Master_Table[P/N],0),COLUMN(Master_Table[I^3]))</f>
        <v>-3.6051752471271521E-10</v>
      </c>
      <c r="AB29" s="254">
        <f>INDEX(Master_Table[],MATCH(Simulator!$E46,Master_Table[P/N],0),COLUMN(Master_Table[I^2]))</f>
        <v>7.0901461413326134E-7</v>
      </c>
      <c r="AC29" s="254">
        <f>INDEX(Master_Table[],MATCH(Simulator!$E46,Master_Table[P/N],0),COLUMN(Master_Table[I]))</f>
        <v>7.2224127080209612E-4</v>
      </c>
      <c r="AD29" s="254">
        <f>INDEX(Master_Table[],MATCH(Simulator!$E46,Master_Table[P/N],0),COLUMN(Master_Table[I0]))</f>
        <v>-1.1997399551094169E-3</v>
      </c>
      <c r="AE29" s="111">
        <f t="shared" si="21"/>
        <v>1.0000524607456007</v>
      </c>
      <c r="AF29" s="102">
        <f t="shared" si="19"/>
        <v>3401.178418995788</v>
      </c>
      <c r="AG29" s="74"/>
      <c r="AH29" s="74"/>
      <c r="AI29" s="74"/>
      <c r="AJ29" s="74"/>
      <c r="AK29" s="3"/>
      <c r="AL29" s="3"/>
      <c r="AM29" s="3"/>
    </row>
    <row r="30" spans="1:40" x14ac:dyDescent="0.25">
      <c r="A30" t="s">
        <v>157</v>
      </c>
      <c r="B30" s="77">
        <f>INDEX(Master_Table[],MATCH(Simulator!E47,Master_Table[P/N],0),COLUMN(Master_Table[Typical Lumens]))</f>
        <v>5019</v>
      </c>
      <c r="C30" s="254">
        <f>INDEX(Master_Table[],MATCH(Simulator!$E47,Master_Table[P/N],0),COLUMN(Master_Table[K^4]))</f>
        <v>6.4400953291127291E-9</v>
      </c>
      <c r="D30" s="254">
        <f>INDEX(Master_Table[],MATCH(Simulator!$E47,Master_Table[P/N],0),COLUMN(Master_Table[K^3]))</f>
        <v>-5.4034465796185759E-5</v>
      </c>
      <c r="E30" s="254">
        <f>INDEX(Master_Table[],MATCH(Simulator!$E47,Master_Table[P/N],0),COLUMN(Master_Table[K^2]))</f>
        <v>0.16915798955133238</v>
      </c>
      <c r="F30" s="254">
        <f>INDEX(Master_Table[],MATCH(Simulator!$E47,Master_Table[P/N],0),COLUMN(Master_Table[K^1]))</f>
        <v>-233.3761816452363</v>
      </c>
      <c r="G30" s="254">
        <f>INDEX(Master_Table[],MATCH(Simulator!$E47,Master_Table[P/N],0),COLUMN(Master_Table[K^0]))</f>
        <v>119549.40540494683</v>
      </c>
      <c r="H30" s="78" t="str">
        <f t="shared" si="16"/>
        <v>0</v>
      </c>
      <c r="I30" s="77">
        <f>INDEX(Master_Table[],MATCH(Simulator!$E47,Master_Table[P/N],0),COLUMN(Master_Table[K^42]))</f>
        <v>6.4400953291127291E-9</v>
      </c>
      <c r="J30" s="254">
        <f>INDEX(Master_Table[],MATCH(Simulator!$E47,Master_Table[P/N],0),COLUMN(Master_Table[K^32]))</f>
        <v>-5.4034465796185759E-5</v>
      </c>
      <c r="K30" s="254">
        <f>INDEX(Master_Table[],MATCH(Simulator!$E47,Master_Table[P/N],0),COLUMN(Master_Table[K^22]))</f>
        <v>0.16915798955133238</v>
      </c>
      <c r="L30" s="254">
        <f>INDEX(Master_Table[],MATCH(Simulator!$E47,Master_Table[P/N],0),COLUMN(Master_Table[K^12]))</f>
        <v>-233.3761816452363</v>
      </c>
      <c r="M30" s="254">
        <f>INDEX(Master_Table[],MATCH(Simulator!$E47,Master_Table[P/N],0),COLUMN(Master_Table[K^02]))</f>
        <v>119549.40540494683</v>
      </c>
      <c r="N30" s="78">
        <f t="shared" si="17"/>
        <v>1288.1387055973173</v>
      </c>
      <c r="O30" s="251">
        <f>IF((H30+N30)&gt;0,IF(Simulator!$N$38=1800,Simulator!N47,MROUND(N30+H30,5)),0)</f>
        <v>1290</v>
      </c>
      <c r="Q30" s="77">
        <f>INDEX(Master_Table[],MATCH(Simulator!$E47,Master_Table[P/N],0),COLUMN(Master_Table[V^4]))</f>
        <v>-1.3920861893701241E-11</v>
      </c>
      <c r="R30" s="254">
        <f>INDEX(Master_Table[],MATCH(Simulator!$E47,Master_Table[P/N],0),COLUMN(Master_Table[V^3]))</f>
        <v>4.8240243530648746E-8</v>
      </c>
      <c r="S30" s="254">
        <f>INDEX(Master_Table[],MATCH(Simulator!$E47,Master_Table[P/N],0),COLUMN(Master_Table[V^2]))</f>
        <v>-5.9077657744319273E-5</v>
      </c>
      <c r="T30" s="254">
        <f>INDEX(Master_Table[],MATCH(Simulator!$E47,Master_Table[P/N],0),COLUMN(Master_Table[V]))</f>
        <v>3.2199401054441378E-2</v>
      </c>
      <c r="U30" s="254">
        <f>INDEX(Master_Table[],MATCH(Simulator!$E47,Master_Table[P/N],0),COLUMN(Master_Table[V0]))</f>
        <v>26.279697704976499</v>
      </c>
      <c r="V30" s="217">
        <f t="shared" si="20"/>
        <v>34.512543141380391</v>
      </c>
      <c r="W30" s="78">
        <f>(F$1-25)*INDEX(Master_Table[],MATCH(Simulator!$E47,Master_Table[P/N],0),COLUMN(Master_Table[dV/dT (mV/C)]))/1000</f>
        <v>0</v>
      </c>
      <c r="X30" s="78">
        <f>V30+W30</f>
        <v>34.512543141380391</v>
      </c>
      <c r="Z30" s="77">
        <f>INDEX(Master_Table[],MATCH(Simulator!$E47,Master_Table[P/N],0),COLUMN(Master_Table[I^4]))</f>
        <v>1.2102993570755097E-15</v>
      </c>
      <c r="AA30" s="254">
        <f>INDEX(Master_Table[],MATCH(Simulator!$E47,Master_Table[P/N],0),COLUMN(Master_Table[I^3]))</f>
        <v>-1.4220514602106273E-10</v>
      </c>
      <c r="AB30" s="254">
        <f>INDEX(Master_Table[],MATCH(Simulator!$E47,Master_Table[P/N],0),COLUMN(Master_Table[I^2]))</f>
        <v>3.4052575572219585E-7</v>
      </c>
      <c r="AC30" s="254">
        <f>INDEX(Master_Table[],MATCH(Simulator!$E47,Master_Table[P/N],0),COLUMN(Master_Table[I]))</f>
        <v>5.6978048912736208E-4</v>
      </c>
      <c r="AD30" s="254">
        <f>INDEX(Master_Table[],MATCH(Simulator!$E47,Master_Table[P/N],0),COLUMN(Master_Table[I0]))</f>
        <v>2.2558660031420747E-4</v>
      </c>
      <c r="AE30" s="111">
        <f t="shared" si="21"/>
        <v>0.99999270081344627</v>
      </c>
      <c r="AF30" s="78">
        <f t="shared" si="19"/>
        <v>5018.9633653826868</v>
      </c>
    </row>
    <row r="31" spans="1:40" ht="16.5" thickBot="1" x14ac:dyDescent="0.3">
      <c r="A31" t="s">
        <v>158</v>
      </c>
      <c r="B31" s="79">
        <f>INDEX(Master_Table[],MATCH(Simulator!E48,Master_Table[P/N],0),COLUMN(Master_Table[Typical Lumens]))</f>
        <v>12836</v>
      </c>
      <c r="C31" s="255">
        <f>INDEX(Master_Table[],MATCH(Simulator!$E48,Master_Table[P/N],0),COLUMN(Master_Table[K^4]))</f>
        <v>7.7050756442022782E-9</v>
      </c>
      <c r="D31" s="255">
        <f>INDEX(Master_Table[],MATCH(Simulator!$E48,Master_Table[P/N],0),COLUMN(Master_Table[K^3]))</f>
        <v>-6.0641467250844398E-5</v>
      </c>
      <c r="E31" s="255">
        <f>INDEX(Master_Table[],MATCH(Simulator!$E48,Master_Table[P/N],0),COLUMN(Master_Table[K^2]))</f>
        <v>0.17661669507022001</v>
      </c>
      <c r="F31" s="255">
        <f>INDEX(Master_Table[],MATCH(Simulator!$E48,Master_Table[P/N],0),COLUMN(Master_Table[K^1]))</f>
        <v>-224.04147235518741</v>
      </c>
      <c r="G31" s="255">
        <f>INDEX(Master_Table[],MATCH(Simulator!$E48,Master_Table[P/N],0),COLUMN(Master_Table[K^0]))</f>
        <v>103853.00739853692</v>
      </c>
      <c r="H31" s="80" t="str">
        <f t="shared" si="16"/>
        <v>0</v>
      </c>
      <c r="I31" s="79">
        <f>INDEX(Master_Table[],MATCH(Simulator!$E48,Master_Table[P/N],0),COLUMN(Master_Table[K^42]))</f>
        <v>7.7050756442022782E-9</v>
      </c>
      <c r="J31" s="255">
        <f>INDEX(Master_Table[],MATCH(Simulator!$E48,Master_Table[P/N],0),COLUMN(Master_Table[K^32]))</f>
        <v>-6.0641467250844398E-5</v>
      </c>
      <c r="K31" s="255">
        <f>INDEX(Master_Table[],MATCH(Simulator!$E48,Master_Table[P/N],0),COLUMN(Master_Table[K^22]))</f>
        <v>0.17661669507022001</v>
      </c>
      <c r="L31" s="255">
        <f>INDEX(Master_Table[],MATCH(Simulator!$E48,Master_Table[P/N],0),COLUMN(Master_Table[K^12]))</f>
        <v>-224.04147235518741</v>
      </c>
      <c r="M31" s="255">
        <f>INDEX(Master_Table[],MATCH(Simulator!$E48,Master_Table[P/N],0),COLUMN(Master_Table[K^02]))</f>
        <v>103853.00739853692</v>
      </c>
      <c r="N31" s="80">
        <f t="shared" si="17"/>
        <v>2350.0497461149062</v>
      </c>
      <c r="O31" s="251">
        <f>IF((H31+N31)&gt;0,IF(Simulator!$N$38=1800,Simulator!N48,MROUND(N31+H31,5)),0)</f>
        <v>2350</v>
      </c>
      <c r="Q31" s="79">
        <f>INDEX(Master_Table[],MATCH(Simulator!$E48,Master_Table[P/N],0),COLUMN(Master_Table[V^4]))</f>
        <v>-1.815579229696846E-12</v>
      </c>
      <c r="R31" s="255">
        <f>INDEX(Master_Table[],MATCH(Simulator!$E48,Master_Table[P/N],0),COLUMN(Master_Table[V^3]))</f>
        <v>1.1117377394504817E-8</v>
      </c>
      <c r="S31" s="255">
        <f>INDEX(Master_Table[],MATCH(Simulator!$E48,Master_Table[P/N],0),COLUMN(Master_Table[V^2]))</f>
        <v>-2.3776258792391319E-5</v>
      </c>
      <c r="T31" s="255">
        <f>INDEX(Master_Table[],MATCH(Simulator!$E48,Master_Table[P/N],0),COLUMN(Master_Table[V]))</f>
        <v>2.2236280990342517E-2</v>
      </c>
      <c r="U31" s="255">
        <f>INDEX(Master_Table[],MATCH(Simulator!$E48,Master_Table[P/N],0),COLUMN(Master_Table[V0]))</f>
        <v>36.649246057874421</v>
      </c>
      <c r="V31" s="220">
        <f t="shared" si="20"/>
        <v>46.50850466324291</v>
      </c>
      <c r="W31" s="80">
        <f>(F$1-25)*INDEX(Master_Table[],MATCH(Simulator!$E48,Master_Table[P/N],0),COLUMN(Master_Table[dV/dT (mV/C)]))/1000</f>
        <v>0</v>
      </c>
      <c r="X31" s="80">
        <f>V31+W31</f>
        <v>46.50850466324291</v>
      </c>
      <c r="Z31" s="79">
        <f>INDEX(Master_Table[],MATCH(Simulator!$E48,Master_Table[P/N],0),COLUMN(Master_Table[I^4]))</f>
        <v>-3.600934239272689E-16</v>
      </c>
      <c r="AA31" s="255">
        <f>INDEX(Master_Table[],MATCH(Simulator!$E48,Master_Table[P/N],0),COLUMN(Master_Table[I^3]))</f>
        <v>-2.1787507029213258E-11</v>
      </c>
      <c r="AB31" s="255">
        <f>INDEX(Master_Table[],MATCH(Simulator!$E48,Master_Table[P/N],0),COLUMN(Master_Table[I^2]))</f>
        <v>9.1071748257993089E-8</v>
      </c>
      <c r="AC31" s="255">
        <f>INDEX(Master_Table[],MATCH(Simulator!$E48,Master_Table[P/N],0),COLUMN(Master_Table[I]))</f>
        <v>3.3673923240876266E-4</v>
      </c>
      <c r="AD31" s="255">
        <f>INDEX(Master_Table[],MATCH(Simulator!$E48,Master_Table[P/N],0),COLUMN(Master_Table[I0]))</f>
        <v>-5.2500142594142599E-4</v>
      </c>
      <c r="AE31" s="111">
        <f t="shared" si="21"/>
        <v>1.000018250209149</v>
      </c>
      <c r="AF31" s="80">
        <f t="shared" si="19"/>
        <v>12836.234259684637</v>
      </c>
    </row>
    <row r="32" spans="1:40" x14ac:dyDescent="0.25">
      <c r="A32" t="s">
        <v>166</v>
      </c>
      <c r="B32" s="101">
        <f>INDEX(Master_Table[],MATCH(Simulator!E50,Master_Table[P/N],0),COLUMN(Master_Table[Typical Lumens]))</f>
        <v>595.65</v>
      </c>
      <c r="C32" s="106">
        <f>INDEX(Master_Table[],MATCH(Simulator!$E50,Master_Table[P/N],0),COLUMN(Master_Table[K^4]))</f>
        <v>1.8089828595020265E-9</v>
      </c>
      <c r="D32" s="106">
        <f>INDEX(Master_Table[],MATCH(Simulator!$E50,Master_Table[P/N],0),COLUMN(Master_Table[K^3]))</f>
        <v>-1.5300963254309649E-5</v>
      </c>
      <c r="E32" s="106">
        <f>INDEX(Master_Table[],MATCH(Simulator!$E50,Master_Table[P/N],0),COLUMN(Master_Table[K^2]))</f>
        <v>4.8307059621455581E-2</v>
      </c>
      <c r="F32" s="106">
        <f>INDEX(Master_Table[],MATCH(Simulator!$E50,Master_Table[P/N],0),COLUMN(Master_Table[K^1]))</f>
        <v>-67.24666748668308</v>
      </c>
      <c r="G32" s="106">
        <f>INDEX(Master_Table[],MATCH(Simulator!$E50,Master_Table[P/N],0),COLUMN(Master_Table[K^0]))</f>
        <v>34789.640964675062</v>
      </c>
      <c r="H32" s="221" t="str">
        <f t="shared" si="16"/>
        <v>0</v>
      </c>
      <c r="I32" s="112">
        <f>INDEX(Master_Table[],MATCH(Simulator!$E50,Master_Table[P/N],0),COLUMN(Master_Table[K^42]))</f>
        <v>1.8089828595020265E-9</v>
      </c>
      <c r="J32" s="106">
        <f>INDEX(Master_Table[],MATCH(Simulator!$E50,Master_Table[P/N],0),COLUMN(Master_Table[K^32]))</f>
        <v>-1.5300963254309649E-5</v>
      </c>
      <c r="K32" s="106">
        <f>INDEX(Master_Table[],MATCH(Simulator!$E50,Master_Table[P/N],0),COLUMN(Master_Table[K^22]))</f>
        <v>4.8307059621455581E-2</v>
      </c>
      <c r="L32" s="106">
        <f>INDEX(Master_Table[],MATCH(Simulator!$E50,Master_Table[P/N],0),COLUMN(Master_Table[K^12]))</f>
        <v>-67.24666748668308</v>
      </c>
      <c r="M32" s="106">
        <f>INDEX(Master_Table[],MATCH(Simulator!$E50,Master_Table[P/N],0),COLUMN(Master_Table[K^02]))</f>
        <v>34789.640964675062</v>
      </c>
      <c r="N32" s="287">
        <f t="shared" si="17"/>
        <v>350.00964012675831</v>
      </c>
      <c r="O32" s="289">
        <f>IF((H32+N32)&gt;0,IF(Simulator!$N$38=1800,Simulator!N50,MROUND(N32+H32,5)),0)</f>
        <v>350</v>
      </c>
      <c r="P32" s="254"/>
      <c r="Q32" s="101">
        <f>INDEX(Master_Table[],MATCH(Simulator!$E50,Master_Table[P/N],0),COLUMN(Master_Table[V^4]))</f>
        <v>-8.376945271258572E-10</v>
      </c>
      <c r="R32" s="191">
        <f>INDEX(Master_Table[],MATCH(Simulator!$E50,Master_Table[P/N],0),COLUMN(Master_Table[V^3]))</f>
        <v>8.9384798476104261E-7</v>
      </c>
      <c r="S32" s="191">
        <f>INDEX(Master_Table[],MATCH(Simulator!$E50,Master_Table[P/N],0),COLUMN(Master_Table[V^2]))</f>
        <v>-3.4918548154403849E-4</v>
      </c>
      <c r="T32" s="191">
        <f>INDEX(Master_Table[],MATCH(Simulator!$E50,Master_Table[P/N],0),COLUMN(Master_Table[V]))</f>
        <v>6.7662061532231255E-2</v>
      </c>
      <c r="U32" s="191">
        <f>INDEX(Master_Table[],MATCH(Simulator!$E50,Master_Table[P/N],0),COLUMN(Master_Table[V0]))</f>
        <v>10.340421103916475</v>
      </c>
      <c r="V32" s="219">
        <f>Q32*O32*O32*O32*O32+R32*O32*O32*O32+S32*O32*O32+T32*O32+U32</f>
        <v>17.000000000000007</v>
      </c>
      <c r="W32" s="114">
        <f>(F$1-25)*INDEX(Master_Table[],MATCH(Simulator!$E50,Master_Table[P/N],0),COLUMN(Master_Table[dV/dT (mV/C)]))/1000</f>
        <v>0</v>
      </c>
      <c r="X32" s="114">
        <f>V32+W32</f>
        <v>17.000000000000007</v>
      </c>
      <c r="Y32" s="254"/>
      <c r="Z32" s="101">
        <f>INDEX(Master_Table[],MATCH(Simulator!$E50,Master_Table[P/N],0),COLUMN(Master_Table[I^4]))</f>
        <v>2.5527298190086784E-12</v>
      </c>
      <c r="AA32" s="191">
        <f>INDEX(Master_Table[],MATCH(Simulator!$E50,Master_Table[P/N],0),COLUMN(Master_Table[I^3]))</f>
        <v>-1.1222752115618928E-8</v>
      </c>
      <c r="AB32" s="191">
        <f>INDEX(Master_Table[],MATCH(Simulator!$E50,Master_Table[P/N],0),COLUMN(Master_Table[I^2]))</f>
        <v>7.7450141538800007E-6</v>
      </c>
      <c r="AC32" s="191">
        <f>INDEX(Master_Table[],MATCH(Simulator!$E50,Master_Table[P/N],0),COLUMN(Master_Table[I]))</f>
        <v>1.4039619916702939E-3</v>
      </c>
      <c r="AD32" s="191">
        <f>INDEX(Master_Table[],MATCH(Simulator!$E50,Master_Table[P/N],0),COLUMN(Master_Table[I0]))</f>
        <v>2.7144267987603832E-3</v>
      </c>
      <c r="AE32" s="223">
        <f>Z32*O32^4+AA32*O32^3+AB32*O32^2+AC32*O32^1+AD32</f>
        <v>0.99999676262300086</v>
      </c>
      <c r="AF32" s="221">
        <f t="shared" si="19"/>
        <v>595.64807165639058</v>
      </c>
      <c r="AG32" s="254"/>
      <c r="AH32" s="254"/>
      <c r="AI32" s="254"/>
      <c r="AJ32" s="254"/>
      <c r="AK32" s="3"/>
      <c r="AL32" s="3"/>
      <c r="AM32" s="3"/>
    </row>
    <row r="33" spans="1:39" x14ac:dyDescent="0.25">
      <c r="A33" t="s">
        <v>167</v>
      </c>
      <c r="B33" s="77">
        <f>INDEX(Master_Table[],MATCH(Simulator!E51,Master_Table[P/N],0),COLUMN(Master_Table[Typical Lumens]))</f>
        <v>416.09999999999997</v>
      </c>
      <c r="C33" s="4">
        <f>INDEX(Master_Table[],MATCH(Simulator!$E51,Master_Table[P/N],0),COLUMN(Master_Table[K^4]))</f>
        <v>0</v>
      </c>
      <c r="D33" s="4">
        <f>INDEX(Master_Table[],MATCH(Simulator!$E51,Master_Table[P/N],0),COLUMN(Master_Table[K^3]))</f>
        <v>3.3589999999999998E-7</v>
      </c>
      <c r="E33" s="4">
        <f>INDEX(Master_Table[],MATCH(Simulator!$E51,Master_Table[P/N],0),COLUMN(Master_Table[K^2]))</f>
        <v>-2.0495000000000001E-3</v>
      </c>
      <c r="F33" s="4">
        <f>INDEX(Master_Table[],MATCH(Simulator!$E51,Master_Table[P/N],0),COLUMN(Master_Table[K^1]))</f>
        <v>4.2827000000000002</v>
      </c>
      <c r="G33" s="4">
        <f>INDEX(Master_Table[],MATCH(Simulator!$E51,Master_Table[P/N],0),COLUMN(Master_Table[K^0]))</f>
        <v>-3013.7</v>
      </c>
      <c r="H33" s="102" t="str">
        <f t="shared" ref="H33:H39" si="22">IF(D$2&lt;K$1,(C33*D$2^4+D33*D$2^3+E33*D$2^2+F33*D$2^1+G33),"0")</f>
        <v>0</v>
      </c>
      <c r="I33" s="113">
        <f>INDEX(Master_Table[],MATCH(Simulator!$E51,Master_Table[P/N],0),COLUMN(Master_Table[K^42]))</f>
        <v>0</v>
      </c>
      <c r="J33" s="4">
        <f>INDEX(Master_Table[],MATCH(Simulator!$E51,Master_Table[P/N],0),COLUMN(Master_Table[K^32]))</f>
        <v>0</v>
      </c>
      <c r="K33" s="4">
        <f>INDEX(Master_Table[],MATCH(Simulator!$E51,Master_Table[P/N],0),COLUMN(Master_Table[K^22]))</f>
        <v>-8.3889999999999995E-4</v>
      </c>
      <c r="L33" s="4">
        <f>INDEX(Master_Table[],MATCH(Simulator!$E51,Master_Table[P/N],0),COLUMN(Master_Table[K^12]))</f>
        <v>5.6902999999999997</v>
      </c>
      <c r="M33" s="4">
        <f>INDEX(Master_Table[],MATCH(Simulator!$E51,Master_Table[P/N],0),COLUMN(Master_Table[K^02]))</f>
        <v>-8998.2999999999993</v>
      </c>
      <c r="N33" s="73">
        <f t="shared" ref="N33:N39" si="23">IF(D$2&gt;K$1,(I33*D$2^4+J33*D$2^3+K33*D$2^2+L33*D$2^1+M33),0)</f>
        <v>249.92900000000009</v>
      </c>
      <c r="O33" s="290">
        <f>IF((H33+N33)&gt;0,IF(Simulator!$N$38=1800,Simulator!N51,MROUND(N33+H33,5)),0)</f>
        <v>250</v>
      </c>
      <c r="P33" s="254"/>
      <c r="Q33" s="77">
        <f>INDEX(Master_Table[],MATCH(Simulator!$E51,Master_Table[P/N],0),COLUMN(Master_Table[V^4]))</f>
        <v>-3.0167959188950945E-9</v>
      </c>
      <c r="R33" s="254">
        <f>INDEX(Master_Table[],MATCH(Simulator!$E51,Master_Table[P/N],0),COLUMN(Master_Table[V^3]))</f>
        <v>2.3342165607486289E-6</v>
      </c>
      <c r="S33" s="254">
        <f>INDEX(Master_Table[],MATCH(Simulator!$E51,Master_Table[P/N],0),COLUMN(Master_Table[V^2]))</f>
        <v>-6.6635585775587348E-4</v>
      </c>
      <c r="T33" s="254">
        <f>INDEX(Master_Table[],MATCH(Simulator!$E51,Master_Table[P/N],0),COLUMN(Master_Table[V]))</f>
        <v>9.5928073054976568E-2</v>
      </c>
      <c r="U33" s="254">
        <f>INDEX(Master_Table[],MATCH(Simulator!$E51,Master_Table[P/N],0),COLUMN(Master_Table[V0]))</f>
        <v>9.9774481424845956</v>
      </c>
      <c r="V33" s="217">
        <f t="shared" ref="V33:V39" si="24">Q33*O33*O33*O33*O33+R33*O33*O33*O33+S33*O33*O33+T33*O33+U33</f>
        <v>17.000000000000014</v>
      </c>
      <c r="W33" s="109">
        <f>(F$1-25)*INDEX(Master_Table[],MATCH(Simulator!$E51,Master_Table[P/N],0),COLUMN(Master_Table[dV/dT (mV/C)]))/1000</f>
        <v>0</v>
      </c>
      <c r="X33" s="109">
        <f t="shared" ref="X33:X39" si="25">V33+W33</f>
        <v>17.000000000000014</v>
      </c>
      <c r="Y33" s="254"/>
      <c r="Z33" s="77">
        <f>INDEX(Master_Table[],MATCH(Simulator!$E51,Master_Table[P/N],0),COLUMN(Master_Table[I^4]))</f>
        <v>-1.5049654997828334E-12</v>
      </c>
      <c r="AA33" s="254">
        <f>INDEX(Master_Table[],MATCH(Simulator!$E51,Master_Table[P/N],0),COLUMN(Master_Table[I^3]))</f>
        <v>-2.2721906642875206E-8</v>
      </c>
      <c r="AB33" s="254">
        <f>INDEX(Master_Table[],MATCH(Simulator!$E51,Master_Table[P/N],0),COLUMN(Master_Table[I^2]))</f>
        <v>1.3244252285598832E-5</v>
      </c>
      <c r="AC33" s="254">
        <f>INDEX(Master_Table[],MATCH(Simulator!$E51,Master_Table[P/N],0),COLUMN(Master_Table[I]))</f>
        <v>2.1344749988985432E-3</v>
      </c>
      <c r="AD33" s="254">
        <f>INDEX(Master_Table[],MATCH(Simulator!$E51,Master_Table[P/N],0),COLUMN(Master_Table[I0]))</f>
        <v>-4.5144071261465262E-4</v>
      </c>
      <c r="AE33" s="111">
        <f t="shared" ref="AE33:AE39" si="26">Z33*O33^4+AA33*O33^3+AB33*O33^2+AC33*O33^1+AD33</f>
        <v>1.0000245140834965</v>
      </c>
      <c r="AF33" s="102">
        <f t="shared" ref="AF33:AF39" si="27">AE33*B33*N14</f>
        <v>416.11020031014283</v>
      </c>
      <c r="AG33" s="254"/>
      <c r="AH33" s="254"/>
      <c r="AI33" s="254"/>
      <c r="AJ33" s="254"/>
      <c r="AK33" s="3"/>
      <c r="AL33" s="3"/>
      <c r="AM33" s="3"/>
    </row>
    <row r="34" spans="1:39" x14ac:dyDescent="0.25">
      <c r="A34" t="s">
        <v>168</v>
      </c>
      <c r="B34" s="77">
        <f>INDEX(Master_Table[],MATCH(Simulator!E52,Master_Table[P/N],0),COLUMN(Master_Table[Typical Lumens]))</f>
        <v>582.35</v>
      </c>
      <c r="C34" s="4">
        <f>INDEX(Master_Table[],MATCH(Simulator!$E52,Master_Table[P/N],0),COLUMN(Master_Table[K^4]))</f>
        <v>1.8089828595020265E-9</v>
      </c>
      <c r="D34" s="4">
        <f>INDEX(Master_Table[],MATCH(Simulator!$E52,Master_Table[P/N],0),COLUMN(Master_Table[K^3]))</f>
        <v>-1.5300963254309649E-5</v>
      </c>
      <c r="E34" s="4">
        <f>INDEX(Master_Table[],MATCH(Simulator!$E52,Master_Table[P/N],0),COLUMN(Master_Table[K^2]))</f>
        <v>4.8307059621455581E-2</v>
      </c>
      <c r="F34" s="4">
        <f>INDEX(Master_Table[],MATCH(Simulator!$E52,Master_Table[P/N],0),COLUMN(Master_Table[K^1]))</f>
        <v>-67.24666748668308</v>
      </c>
      <c r="G34" s="4">
        <f>INDEX(Master_Table[],MATCH(Simulator!$E52,Master_Table[P/N],0),COLUMN(Master_Table[K^0]))</f>
        <v>34789.640964675062</v>
      </c>
      <c r="H34" s="102" t="str">
        <f t="shared" si="22"/>
        <v>0</v>
      </c>
      <c r="I34" s="113">
        <f>INDEX(Master_Table[],MATCH(Simulator!$E52,Master_Table[P/N],0),COLUMN(Master_Table[K^42]))</f>
        <v>1.8089828595020265E-9</v>
      </c>
      <c r="J34" s="4">
        <f>INDEX(Master_Table[],MATCH(Simulator!$E52,Master_Table[P/N],0),COLUMN(Master_Table[K^32]))</f>
        <v>-1.5300963254309649E-5</v>
      </c>
      <c r="K34" s="4">
        <f>INDEX(Master_Table[],MATCH(Simulator!$E52,Master_Table[P/N],0),COLUMN(Master_Table[K^22]))</f>
        <v>4.8307059621455581E-2</v>
      </c>
      <c r="L34" s="4">
        <f>INDEX(Master_Table[],MATCH(Simulator!$E52,Master_Table[P/N],0),COLUMN(Master_Table[K^12]))</f>
        <v>-67.24666748668308</v>
      </c>
      <c r="M34" s="4">
        <f>INDEX(Master_Table[],MATCH(Simulator!$E52,Master_Table[P/N],0),COLUMN(Master_Table[K^02]))</f>
        <v>34789.640964675062</v>
      </c>
      <c r="N34" s="73">
        <f t="shared" si="23"/>
        <v>350.00964012675831</v>
      </c>
      <c r="O34" s="290">
        <f>IF((H34+N34)&gt;0,IF(Simulator!$N$38=1800,Simulator!N52,MROUND(N34+H34,5)),0)</f>
        <v>350</v>
      </c>
      <c r="P34" s="254"/>
      <c r="Q34" s="77">
        <f>INDEX(Master_Table[],MATCH(Simulator!$E52,Master_Table[P/N],0),COLUMN(Master_Table[V^4]))</f>
        <v>-8.376945271258572E-10</v>
      </c>
      <c r="R34" s="254">
        <f>INDEX(Master_Table[],MATCH(Simulator!$E52,Master_Table[P/N],0),COLUMN(Master_Table[V^3]))</f>
        <v>8.9384798476104261E-7</v>
      </c>
      <c r="S34" s="254">
        <f>INDEX(Master_Table[],MATCH(Simulator!$E52,Master_Table[P/N],0),COLUMN(Master_Table[V^2]))</f>
        <v>-3.4918548154403849E-4</v>
      </c>
      <c r="T34" s="254">
        <f>INDEX(Master_Table[],MATCH(Simulator!$E52,Master_Table[P/N],0),COLUMN(Master_Table[V]))</f>
        <v>6.7662061532231255E-2</v>
      </c>
      <c r="U34" s="254">
        <f>INDEX(Master_Table[],MATCH(Simulator!$E52,Master_Table[P/N],0),COLUMN(Master_Table[V0]))</f>
        <v>10.340421103916475</v>
      </c>
      <c r="V34" s="217">
        <f t="shared" si="24"/>
        <v>17.000000000000007</v>
      </c>
      <c r="W34" s="109">
        <f>(F$1-25)*INDEX(Master_Table[],MATCH(Simulator!$E52,Master_Table[P/N],0),COLUMN(Master_Table[dV/dT (mV/C)]))/1000</f>
        <v>0</v>
      </c>
      <c r="X34" s="109">
        <f t="shared" si="25"/>
        <v>17.000000000000007</v>
      </c>
      <c r="Y34" s="254"/>
      <c r="Z34" s="77">
        <f>INDEX(Master_Table[],MATCH(Simulator!$E52,Master_Table[P/N],0),COLUMN(Master_Table[I^4]))</f>
        <v>2.0563232639415106E-12</v>
      </c>
      <c r="AA34" s="254">
        <f>INDEX(Master_Table[],MATCH(Simulator!$E52,Master_Table[P/N],0),COLUMN(Master_Table[I^3]))</f>
        <v>-1.1547329885441754E-8</v>
      </c>
      <c r="AB34" s="254">
        <f>INDEX(Master_Table[],MATCH(Simulator!$E52,Master_Table[P/N],0),COLUMN(Master_Table[I^2]))</f>
        <v>8.1130316176974384E-6</v>
      </c>
      <c r="AC34" s="254">
        <f>INDEX(Master_Table[],MATCH(Simulator!$E52,Master_Table[P/N],0),COLUMN(Master_Table[I]))</f>
        <v>1.3363941338751929E-3</v>
      </c>
      <c r="AD34" s="254">
        <f>INDEX(Master_Table[],MATCH(Simulator!$E52,Master_Table[P/N],0),COLUMN(Master_Table[I0]))</f>
        <v>2.5720255218239819E-3</v>
      </c>
      <c r="AE34" s="111">
        <f t="shared" si="26"/>
        <v>0.99992227768728481</v>
      </c>
      <c r="AF34" s="102">
        <f t="shared" si="27"/>
        <v>582.30473841119033</v>
      </c>
      <c r="AG34" s="254"/>
      <c r="AH34" s="254"/>
      <c r="AI34" s="254"/>
      <c r="AJ34" s="254"/>
      <c r="AK34" s="3"/>
      <c r="AL34" s="3"/>
      <c r="AM34" s="3"/>
    </row>
    <row r="35" spans="1:39" x14ac:dyDescent="0.25">
      <c r="A35" t="s">
        <v>169</v>
      </c>
      <c r="B35" s="77">
        <f>INDEX(Master_Table[],MATCH(Simulator!E53,Master_Table[P/N],0),COLUMN(Master_Table[Typical Lumens]))</f>
        <v>1179.8999999999999</v>
      </c>
      <c r="C35" s="4">
        <f>INDEX(Master_Table[],MATCH(Simulator!$E53,Master_Table[P/N],0),COLUMN(Master_Table[K^4]))</f>
        <v>1.8089828595020265E-9</v>
      </c>
      <c r="D35" s="4">
        <f>INDEX(Master_Table[],MATCH(Simulator!$E53,Master_Table[P/N],0),COLUMN(Master_Table[K^3]))</f>
        <v>-1.5300963254309649E-5</v>
      </c>
      <c r="E35" s="4">
        <f>INDEX(Master_Table[],MATCH(Simulator!$E53,Master_Table[P/N],0),COLUMN(Master_Table[K^2]))</f>
        <v>4.8307059621455581E-2</v>
      </c>
      <c r="F35" s="4">
        <f>INDEX(Master_Table[],MATCH(Simulator!$E53,Master_Table[P/N],0),COLUMN(Master_Table[K^1]))</f>
        <v>-67.24666748668308</v>
      </c>
      <c r="G35" s="4">
        <f>INDEX(Master_Table[],MATCH(Simulator!$E53,Master_Table[P/N],0),COLUMN(Master_Table[K^0]))</f>
        <v>34789.640964675062</v>
      </c>
      <c r="H35" s="102" t="str">
        <f t="shared" si="22"/>
        <v>0</v>
      </c>
      <c r="I35" s="113">
        <f>INDEX(Master_Table[],MATCH(Simulator!$E53,Master_Table[P/N],0),COLUMN(Master_Table[K^42]))</f>
        <v>1.8089828595020265E-9</v>
      </c>
      <c r="J35" s="4">
        <f>INDEX(Master_Table[],MATCH(Simulator!$E53,Master_Table[P/N],0),COLUMN(Master_Table[K^32]))</f>
        <v>-1.5300963254309649E-5</v>
      </c>
      <c r="K35" s="4">
        <f>INDEX(Master_Table[],MATCH(Simulator!$E53,Master_Table[P/N],0),COLUMN(Master_Table[K^22]))</f>
        <v>4.8307059621455581E-2</v>
      </c>
      <c r="L35" s="4">
        <f>INDEX(Master_Table[],MATCH(Simulator!$E53,Master_Table[P/N],0),COLUMN(Master_Table[K^12]))</f>
        <v>-67.24666748668308</v>
      </c>
      <c r="M35" s="4">
        <f>INDEX(Master_Table[],MATCH(Simulator!$E53,Master_Table[P/N],0),COLUMN(Master_Table[K^02]))</f>
        <v>34789.640964675062</v>
      </c>
      <c r="N35" s="73">
        <f t="shared" si="23"/>
        <v>350.00964012675831</v>
      </c>
      <c r="O35" s="290">
        <f>IF((H35+N35)&gt;0,IF(Simulator!$N$38=1800,Simulator!N53,MROUND(N35+H35,5)),0)</f>
        <v>350</v>
      </c>
      <c r="P35" s="254"/>
      <c r="Q35" s="77">
        <f>INDEX(Master_Table[],MATCH(Simulator!$E53,Master_Table[P/N],0),COLUMN(Master_Table[V^4]))</f>
        <v>-1.0263070615851712E-9</v>
      </c>
      <c r="R35" s="254">
        <f>INDEX(Master_Table[],MATCH(Simulator!$E53,Master_Table[P/N],0),COLUMN(Master_Table[V^3]))</f>
        <v>1.0987480245458821E-6</v>
      </c>
      <c r="S35" s="254">
        <f>INDEX(Master_Table[],MATCH(Simulator!$E53,Master_Table[P/N],0),COLUMN(Master_Table[V^2]))</f>
        <v>-4.3082205675544721E-4</v>
      </c>
      <c r="T35" s="254">
        <f>INDEX(Master_Table[],MATCH(Simulator!$E53,Master_Table[P/N],0),COLUMN(Master_Table[V]))</f>
        <v>8.2958507290343014E-2</v>
      </c>
      <c r="U35" s="254">
        <f>INDEX(Master_Table[],MATCH(Simulator!$E53,Master_Table[P/N],0),COLUMN(Master_Table[V0]))</f>
        <v>25.832423191430003</v>
      </c>
      <c r="V35" s="217">
        <f t="shared" si="24"/>
        <v>33.79999999999999</v>
      </c>
      <c r="W35" s="109">
        <f>(F$1-25)*INDEX(Master_Table[],MATCH(Simulator!$E53,Master_Table[P/N],0),COLUMN(Master_Table[dV/dT (mV/C)]))/1000</f>
        <v>0</v>
      </c>
      <c r="X35" s="109">
        <f t="shared" si="25"/>
        <v>33.79999999999999</v>
      </c>
      <c r="Y35" s="254"/>
      <c r="Z35" s="77">
        <f>INDEX(Master_Table[],MATCH(Simulator!$E53,Master_Table[P/N],0),COLUMN(Master_Table[I^4]))</f>
        <v>7.0452527036719384E-12</v>
      </c>
      <c r="AA35" s="254">
        <f>INDEX(Master_Table[],MATCH(Simulator!$E53,Master_Table[P/N],0),COLUMN(Master_Table[I^3]))</f>
        <v>-1.6567569708292668E-8</v>
      </c>
      <c r="AB35" s="254">
        <f>INDEX(Master_Table[],MATCH(Simulator!$E53,Master_Table[P/N],0),COLUMN(Master_Table[I^2]))</f>
        <v>9.7826352007825322E-6</v>
      </c>
      <c r="AC35" s="254">
        <f>INDEX(Master_Table[],MATCH(Simulator!$E53,Master_Table[P/N],0),COLUMN(Master_Table[I]))</f>
        <v>1.1347443057740242E-3</v>
      </c>
      <c r="AD35" s="254">
        <f>INDEX(Master_Table[],MATCH(Simulator!$E53,Master_Table[P/N],0),COLUMN(Master_Table[I0]))</f>
        <v>8.8121211675696587E-3</v>
      </c>
      <c r="AE35" s="111">
        <f t="shared" si="26"/>
        <v>0.99973371242576714</v>
      </c>
      <c r="AF35" s="102">
        <f t="shared" si="27"/>
        <v>1179.5858072911626</v>
      </c>
      <c r="AG35" s="254"/>
      <c r="AH35" s="254"/>
      <c r="AI35" s="254"/>
      <c r="AJ35" s="254"/>
      <c r="AK35" s="73"/>
      <c r="AL35" s="3"/>
      <c r="AM35" s="3"/>
    </row>
    <row r="36" spans="1:39" x14ac:dyDescent="0.25">
      <c r="A36" t="s">
        <v>170</v>
      </c>
      <c r="B36" s="77">
        <f>INDEX(Master_Table[],MATCH(Simulator!E54,Master_Table[P/N],0),COLUMN(Master_Table[Typical Lumens]))</f>
        <v>2026.56</v>
      </c>
      <c r="C36" s="4">
        <f>INDEX(Master_Table[],MATCH(Simulator!$E54,Master_Table[P/N],0),COLUMN(Master_Table[K^4]))</f>
        <v>3.8233560680488095E-9</v>
      </c>
      <c r="D36" s="4">
        <f>INDEX(Master_Table[],MATCH(Simulator!$E54,Master_Table[P/N],0),COLUMN(Master_Table[K^3]))</f>
        <v>-3.2602739507169819E-5</v>
      </c>
      <c r="E36" s="4">
        <f>INDEX(Master_Table[],MATCH(Simulator!$E54,Master_Table[P/N],0),COLUMN(Master_Table[K^2]))</f>
        <v>0.10394441584752064</v>
      </c>
      <c r="F36" s="4">
        <f>INDEX(Master_Table[],MATCH(Simulator!$E54,Master_Table[P/N],0),COLUMN(Master_Table[K^1]))</f>
        <v>-146.51913074557123</v>
      </c>
      <c r="G36" s="4">
        <f>INDEX(Master_Table[],MATCH(Simulator!$E54,Master_Table[P/N],0),COLUMN(Master_Table[K^0]))</f>
        <v>76977.847032519712</v>
      </c>
      <c r="H36" s="102" t="str">
        <f t="shared" si="22"/>
        <v>0</v>
      </c>
      <c r="I36" s="113">
        <f>INDEX(Master_Table[],MATCH(Simulator!$E54,Master_Table[P/N],0),COLUMN(Master_Table[K^42]))</f>
        <v>3.8233560680488095E-9</v>
      </c>
      <c r="J36" s="4">
        <f>INDEX(Master_Table[],MATCH(Simulator!$E54,Master_Table[P/N],0),COLUMN(Master_Table[K^32]))</f>
        <v>-3.2602739507169819E-5</v>
      </c>
      <c r="K36" s="4">
        <f>INDEX(Master_Table[],MATCH(Simulator!$E54,Master_Table[P/N],0),COLUMN(Master_Table[K^22]))</f>
        <v>0.10394441584752064</v>
      </c>
      <c r="L36" s="4">
        <f>INDEX(Master_Table[],MATCH(Simulator!$E54,Master_Table[P/N],0),COLUMN(Master_Table[K^12]))</f>
        <v>-146.51913074557123</v>
      </c>
      <c r="M36" s="4">
        <f>INDEX(Master_Table[],MATCH(Simulator!$E54,Master_Table[P/N],0),COLUMN(Master_Table[K^02]))</f>
        <v>76977.847032519712</v>
      </c>
      <c r="N36" s="73">
        <f t="shared" si="23"/>
        <v>600.08104427195212</v>
      </c>
      <c r="O36" s="290">
        <f>IF((H36+N36)&gt;0,IF(Simulator!$N$38=1800,Simulator!N54,MROUND(N36+H36,5)),0)</f>
        <v>600</v>
      </c>
      <c r="P36" s="254"/>
      <c r="Q36" s="77">
        <f>INDEX(Master_Table[],MATCH(Simulator!$E54,Master_Table[P/N],0),COLUMN(Master_Table[V^4]))</f>
        <v>-1.2470292830594369E-10</v>
      </c>
      <c r="R36" s="254">
        <f>INDEX(Master_Table[],MATCH(Simulator!$E54,Master_Table[P/N],0),COLUMN(Master_Table[V^3]))</f>
        <v>2.2734000912019639E-7</v>
      </c>
      <c r="S36" s="254">
        <f>INDEX(Master_Table[],MATCH(Simulator!$E54,Master_Table[P/N],0),COLUMN(Master_Table[V^2]))</f>
        <v>-1.5056316798366467E-4</v>
      </c>
      <c r="T36" s="254">
        <f>INDEX(Master_Table[],MATCH(Simulator!$E54,Master_Table[P/N],0),COLUMN(Master_Table[V]))</f>
        <v>4.7938591121228488E-2</v>
      </c>
      <c r="U36" s="254">
        <f>INDEX(Master_Table[],MATCH(Simulator!$E54,Master_Table[P/N],0),COLUMN(Master_Table[V0]))</f>
        <v>26.000184370165666</v>
      </c>
      <c r="V36" s="217">
        <f t="shared" si="24"/>
        <v>33.504541030295599</v>
      </c>
      <c r="W36" s="109">
        <f>(F$1-25)*INDEX(Master_Table[],MATCH(Simulator!$E54,Master_Table[P/N],0),COLUMN(Master_Table[dV/dT (mV/C)]))/1000</f>
        <v>0</v>
      </c>
      <c r="X36" s="109">
        <f t="shared" si="25"/>
        <v>33.504541030295599</v>
      </c>
      <c r="Y36" s="254"/>
      <c r="Z36" s="77">
        <f>INDEX(Master_Table[],MATCH(Simulator!$E54,Master_Table[P/N],0),COLUMN(Master_Table[I^4]))</f>
        <v>-2.421962082336712E-13</v>
      </c>
      <c r="AA36" s="254">
        <f>INDEX(Master_Table[],MATCH(Simulator!$E54,Master_Table[P/N],0),COLUMN(Master_Table[I^3]))</f>
        <v>-7.4249550196922771E-10</v>
      </c>
      <c r="AB36" s="254">
        <f>INDEX(Master_Table[],MATCH(Simulator!$E54,Master_Table[P/N],0),COLUMN(Master_Table[I^2]))</f>
        <v>1.2355486467678302E-6</v>
      </c>
      <c r="AC36" s="254">
        <f>INDEX(Master_Table[],MATCH(Simulator!$E54,Master_Table[P/N],0),COLUMN(Master_Table[I]))</f>
        <v>1.2505421601140371E-3</v>
      </c>
      <c r="AD36" s="254">
        <f>INDEX(Master_Table[],MATCH(Simulator!$E54,Master_Table[P/N],0),COLUMN(Master_Table[I0]))</f>
        <v>-3.2333080334528211E-3</v>
      </c>
      <c r="AE36" s="111">
        <f t="shared" si="26"/>
        <v>1.0001218438589514</v>
      </c>
      <c r="AF36" s="102">
        <f t="shared" si="27"/>
        <v>2026.8069238907965</v>
      </c>
      <c r="AG36" s="254"/>
      <c r="AH36" s="254"/>
      <c r="AI36" s="254"/>
      <c r="AJ36" s="254"/>
      <c r="AK36" s="3"/>
      <c r="AL36" s="3"/>
      <c r="AM36" s="3"/>
    </row>
    <row r="37" spans="1:39" x14ac:dyDescent="0.25">
      <c r="A37" t="s">
        <v>171</v>
      </c>
      <c r="B37" s="77">
        <f>INDEX(Master_Table[],MATCH(Simulator!E55,Master_Table[P/N],0),COLUMN(Master_Table[Typical Lumens]))</f>
        <v>3264.96</v>
      </c>
      <c r="C37" s="4">
        <f>INDEX(Master_Table[],MATCH(Simulator!$E55,Master_Table[P/N],0),COLUMN(Master_Table[K^4]))</f>
        <v>1.9007723670250783E-9</v>
      </c>
      <c r="D37" s="4">
        <f>INDEX(Master_Table[],MATCH(Simulator!$E55,Master_Table[P/N],0),COLUMN(Master_Table[K^3]))</f>
        <v>-1.4449568915861593E-5</v>
      </c>
      <c r="E37" s="4">
        <f>INDEX(Master_Table[],MATCH(Simulator!$E55,Master_Table[P/N],0),COLUMN(Master_Table[K^2]))</f>
        <v>4.0374849957779499E-2</v>
      </c>
      <c r="F37" s="4">
        <f>INDEX(Master_Table[],MATCH(Simulator!$E55,Master_Table[P/N],0),COLUMN(Master_Table[K^1]))</f>
        <v>-48.342238102925918</v>
      </c>
      <c r="G37" s="4">
        <f>INDEX(Master_Table[],MATCH(Simulator!$E55,Master_Table[P/N],0),COLUMN(Master_Table[K^0]))</f>
        <v>20537.464413937654</v>
      </c>
      <c r="H37" s="102" t="str">
        <f t="shared" si="22"/>
        <v>0</v>
      </c>
      <c r="I37" s="113">
        <f>INDEX(Master_Table[],MATCH(Simulator!$E55,Master_Table[P/N],0),COLUMN(Master_Table[K^42]))</f>
        <v>1.9007723670250783E-9</v>
      </c>
      <c r="J37" s="4">
        <f>INDEX(Master_Table[],MATCH(Simulator!$E55,Master_Table[P/N],0),COLUMN(Master_Table[K^32]))</f>
        <v>-1.4449568915861593E-5</v>
      </c>
      <c r="K37" s="4">
        <f>INDEX(Master_Table[],MATCH(Simulator!$E55,Master_Table[P/N],0),COLUMN(Master_Table[K^22]))</f>
        <v>4.0374849957779499E-2</v>
      </c>
      <c r="L37" s="4">
        <f>INDEX(Master_Table[],MATCH(Simulator!$E55,Master_Table[P/N],0),COLUMN(Master_Table[K^12]))</f>
        <v>-48.342238102925918</v>
      </c>
      <c r="M37" s="4">
        <f>INDEX(Master_Table[],MATCH(Simulator!$E55,Master_Table[P/N],0),COLUMN(Master_Table[K^02]))</f>
        <v>20537.464413937654</v>
      </c>
      <c r="N37" s="288">
        <f t="shared" si="23"/>
        <v>950.04950776397163</v>
      </c>
      <c r="O37" s="290">
        <f>IF((H37+N37)&gt;0,IF(Simulator!$N$38=1800,Simulator!N55,MROUND(N37+H37,5)),0)</f>
        <v>950</v>
      </c>
      <c r="P37" s="254"/>
      <c r="Q37" s="77">
        <f>INDEX(Master_Table[],MATCH(Simulator!$E55,Master_Table[P/N],0),COLUMN(Master_Table[V^4]))</f>
        <v>-3.5422555345437313E-11</v>
      </c>
      <c r="R37" s="254">
        <f>INDEX(Master_Table[],MATCH(Simulator!$E55,Master_Table[P/N],0),COLUMN(Master_Table[V^3]))</f>
        <v>9.4330500076400081E-8</v>
      </c>
      <c r="S37" s="254">
        <f>INDEX(Master_Table[],MATCH(Simulator!$E55,Master_Table[P/N],0),COLUMN(Master_Table[V^2]))</f>
        <v>-9.006243448252024E-5</v>
      </c>
      <c r="T37" s="254">
        <f>INDEX(Master_Table[],MATCH(Simulator!$E55,Master_Table[P/N],0),COLUMN(Master_Table[V]))</f>
        <v>3.9711545730505921E-2</v>
      </c>
      <c r="U37" s="254">
        <f>INDEX(Master_Table[],MATCH(Simulator!$E55,Master_Table[P/N],0),COLUMN(Master_Table[V0]))</f>
        <v>25.6416864529936</v>
      </c>
      <c r="V37" s="217">
        <f t="shared" si="24"/>
        <v>34.11102755967363</v>
      </c>
      <c r="W37" s="109">
        <f>(F$1-25)*INDEX(Master_Table[],MATCH(Simulator!$E55,Master_Table[P/N],0),COLUMN(Master_Table[dV/dT (mV/C)]))/1000</f>
        <v>0</v>
      </c>
      <c r="X37" s="109">
        <f t="shared" si="25"/>
        <v>34.11102755967363</v>
      </c>
      <c r="Y37" s="254"/>
      <c r="Z37" s="77">
        <f>INDEX(Master_Table[],MATCH(Simulator!$E55,Master_Table[P/N],0),COLUMN(Master_Table[I^4]))</f>
        <v>-1.9231261965129578E-14</v>
      </c>
      <c r="AA37" s="254">
        <f>INDEX(Master_Table[],MATCH(Simulator!$E55,Master_Table[P/N],0),COLUMN(Master_Table[I^3]))</f>
        <v>-3.6051752471271521E-10</v>
      </c>
      <c r="AB37" s="254">
        <f>INDEX(Master_Table[],MATCH(Simulator!$E55,Master_Table[P/N],0),COLUMN(Master_Table[I^2]))</f>
        <v>7.0901461413326134E-7</v>
      </c>
      <c r="AC37" s="254">
        <f>INDEX(Master_Table[],MATCH(Simulator!$E55,Master_Table[P/N],0),COLUMN(Master_Table[I]))</f>
        <v>7.2224127080209612E-4</v>
      </c>
      <c r="AD37" s="254">
        <f>INDEX(Master_Table[],MATCH(Simulator!$E55,Master_Table[P/N],0),COLUMN(Master_Table[I0]))</f>
        <v>-1.1997399551094169E-3</v>
      </c>
      <c r="AE37" s="111">
        <f t="shared" si="26"/>
        <v>1.0000524607456007</v>
      </c>
      <c r="AF37" s="102">
        <f t="shared" si="27"/>
        <v>3265.1312822359564</v>
      </c>
      <c r="AG37" s="254"/>
      <c r="AH37" s="254"/>
      <c r="AI37" s="254"/>
      <c r="AJ37" s="254"/>
      <c r="AK37" s="3"/>
      <c r="AL37" s="3"/>
      <c r="AM37" s="3"/>
    </row>
    <row r="38" spans="1:39" x14ac:dyDescent="0.25">
      <c r="A38" t="s">
        <v>172</v>
      </c>
      <c r="B38" s="77">
        <f>INDEX(Master_Table[],MATCH(Simulator!E56,Master_Table[P/N],0),COLUMN(Master_Table[Typical Lumens]))</f>
        <v>4818.24</v>
      </c>
      <c r="C38" s="254">
        <f>INDEX(Master_Table[],MATCH(Simulator!$E56,Master_Table[P/N],0),COLUMN(Master_Table[K^4]))</f>
        <v>6.4400953291127291E-9</v>
      </c>
      <c r="D38" s="254">
        <f>INDEX(Master_Table[],MATCH(Simulator!$E56,Master_Table[P/N],0),COLUMN(Master_Table[K^3]))</f>
        <v>-5.4034465796185759E-5</v>
      </c>
      <c r="E38" s="254">
        <f>INDEX(Master_Table[],MATCH(Simulator!$E56,Master_Table[P/N],0),COLUMN(Master_Table[K^2]))</f>
        <v>0.16915798955133238</v>
      </c>
      <c r="F38" s="254">
        <f>INDEX(Master_Table[],MATCH(Simulator!$E56,Master_Table[P/N],0),COLUMN(Master_Table[K^1]))</f>
        <v>-233.3761816452363</v>
      </c>
      <c r="G38" s="254">
        <f>INDEX(Master_Table[],MATCH(Simulator!$E56,Master_Table[P/N],0),COLUMN(Master_Table[K^0]))</f>
        <v>119549.40540494683</v>
      </c>
      <c r="H38" s="78" t="str">
        <f t="shared" si="22"/>
        <v>0</v>
      </c>
      <c r="I38" s="77">
        <f>INDEX(Master_Table[],MATCH(Simulator!$E56,Master_Table[P/N],0),COLUMN(Master_Table[K^42]))</f>
        <v>6.4400953291127291E-9</v>
      </c>
      <c r="J38" s="254">
        <f>INDEX(Master_Table[],MATCH(Simulator!$E56,Master_Table[P/N],0),COLUMN(Master_Table[K^32]))</f>
        <v>-5.4034465796185759E-5</v>
      </c>
      <c r="K38" s="254">
        <f>INDEX(Master_Table[],MATCH(Simulator!$E56,Master_Table[P/N],0),COLUMN(Master_Table[K^22]))</f>
        <v>0.16915798955133238</v>
      </c>
      <c r="L38" s="254">
        <f>INDEX(Master_Table[],MATCH(Simulator!$E56,Master_Table[P/N],0),COLUMN(Master_Table[K^12]))</f>
        <v>-233.3761816452363</v>
      </c>
      <c r="M38" s="254">
        <f>INDEX(Master_Table[],MATCH(Simulator!$E56,Master_Table[P/N],0),COLUMN(Master_Table[K^02]))</f>
        <v>119549.40540494683</v>
      </c>
      <c r="N38" s="275">
        <f t="shared" si="23"/>
        <v>1288.1387055973173</v>
      </c>
      <c r="O38" s="290">
        <f>IF((H38+N38)&gt;0,IF(Simulator!$N$38=1800,Simulator!N56,MROUND(N38+H38,5)),0)</f>
        <v>1290</v>
      </c>
      <c r="Q38" s="77">
        <f>INDEX(Master_Table[],MATCH(Simulator!$E56,Master_Table[P/N],0),COLUMN(Master_Table[V^4]))</f>
        <v>-1.3920861893701241E-11</v>
      </c>
      <c r="R38" s="254">
        <f>INDEX(Master_Table[],MATCH(Simulator!$E56,Master_Table[P/N],0),COLUMN(Master_Table[V^3]))</f>
        <v>4.8240243530648746E-8</v>
      </c>
      <c r="S38" s="254">
        <f>INDEX(Master_Table[],MATCH(Simulator!$E56,Master_Table[P/N],0),COLUMN(Master_Table[V^2]))</f>
        <v>-5.9077657744319273E-5</v>
      </c>
      <c r="T38" s="254">
        <f>INDEX(Master_Table[],MATCH(Simulator!$E56,Master_Table[P/N],0),COLUMN(Master_Table[V]))</f>
        <v>3.2199401054441378E-2</v>
      </c>
      <c r="U38" s="254">
        <f>INDEX(Master_Table[],MATCH(Simulator!$E56,Master_Table[P/N],0),COLUMN(Master_Table[V0]))</f>
        <v>26.279697704976499</v>
      </c>
      <c r="V38" s="217">
        <f t="shared" si="24"/>
        <v>34.512543141380391</v>
      </c>
      <c r="W38" s="78">
        <f>(F$1-25)*INDEX(Master_Table[],MATCH(Simulator!$E56,Master_Table[P/N],0),COLUMN(Master_Table[dV/dT (mV/C)]))/1000</f>
        <v>0</v>
      </c>
      <c r="X38" s="78">
        <f t="shared" si="25"/>
        <v>34.512543141380391</v>
      </c>
      <c r="Z38" s="77">
        <f>INDEX(Master_Table[],MATCH(Simulator!$E56,Master_Table[P/N],0),COLUMN(Master_Table[I^4]))</f>
        <v>1.2102993570755097E-15</v>
      </c>
      <c r="AA38" s="254">
        <f>INDEX(Master_Table[],MATCH(Simulator!$E56,Master_Table[P/N],0),COLUMN(Master_Table[I^3]))</f>
        <v>-1.4220514602106273E-10</v>
      </c>
      <c r="AB38" s="254">
        <f>INDEX(Master_Table[],MATCH(Simulator!$E56,Master_Table[P/N],0),COLUMN(Master_Table[I^2]))</f>
        <v>3.4052575572219585E-7</v>
      </c>
      <c r="AC38" s="254">
        <f>INDEX(Master_Table[],MATCH(Simulator!$E56,Master_Table[P/N],0),COLUMN(Master_Table[I]))</f>
        <v>5.6978048912736208E-4</v>
      </c>
      <c r="AD38" s="254">
        <f>INDEX(Master_Table[],MATCH(Simulator!$E56,Master_Table[P/N],0),COLUMN(Master_Table[I0]))</f>
        <v>2.2558660031420747E-4</v>
      </c>
      <c r="AE38" s="111">
        <f t="shared" si="26"/>
        <v>0.99999270081344627</v>
      </c>
      <c r="AF38" s="78">
        <f t="shared" si="27"/>
        <v>4818.2048307673795</v>
      </c>
    </row>
    <row r="39" spans="1:39" ht="16.5" thickBot="1" x14ac:dyDescent="0.3">
      <c r="A39" t="s">
        <v>173</v>
      </c>
      <c r="B39" s="79">
        <f>INDEX(Master_Table[],MATCH(Simulator!E57,Master_Table[P/N],0),COLUMN(Master_Table[Typical Lumens]))</f>
        <v>12322.56</v>
      </c>
      <c r="C39" s="255">
        <f>INDEX(Master_Table[],MATCH(Simulator!$E57,Master_Table[P/N],0),COLUMN(Master_Table[K^4]))</f>
        <v>7.7050756442022782E-9</v>
      </c>
      <c r="D39" s="255">
        <f>INDEX(Master_Table[],MATCH(Simulator!$E57,Master_Table[P/N],0),COLUMN(Master_Table[K^3]))</f>
        <v>-6.0641467250844398E-5</v>
      </c>
      <c r="E39" s="255">
        <f>INDEX(Master_Table[],MATCH(Simulator!$E57,Master_Table[P/N],0),COLUMN(Master_Table[K^2]))</f>
        <v>0.17661669507022001</v>
      </c>
      <c r="F39" s="255">
        <f>INDEX(Master_Table[],MATCH(Simulator!$E57,Master_Table[P/N],0),COLUMN(Master_Table[K^1]))</f>
        <v>-224.04147235518741</v>
      </c>
      <c r="G39" s="255">
        <f>INDEX(Master_Table[],MATCH(Simulator!$E57,Master_Table[P/N],0),COLUMN(Master_Table[K^0]))</f>
        <v>103853.00739853692</v>
      </c>
      <c r="H39" s="80" t="str">
        <f t="shared" si="22"/>
        <v>0</v>
      </c>
      <c r="I39" s="79">
        <f>INDEX(Master_Table[],MATCH(Simulator!$E57,Master_Table[P/N],0),COLUMN(Master_Table[K^42]))</f>
        <v>7.7050756442022782E-9</v>
      </c>
      <c r="J39" s="255">
        <f>INDEX(Master_Table[],MATCH(Simulator!$E57,Master_Table[P/N],0),COLUMN(Master_Table[K^32]))</f>
        <v>-6.0641467250844398E-5</v>
      </c>
      <c r="K39" s="255">
        <f>INDEX(Master_Table[],MATCH(Simulator!$E57,Master_Table[P/N],0),COLUMN(Master_Table[K^22]))</f>
        <v>0.17661669507022001</v>
      </c>
      <c r="L39" s="255">
        <f>INDEX(Master_Table[],MATCH(Simulator!$E57,Master_Table[P/N],0),COLUMN(Master_Table[K^12]))</f>
        <v>-224.04147235518741</v>
      </c>
      <c r="M39" s="255">
        <f>INDEX(Master_Table[],MATCH(Simulator!$E57,Master_Table[P/N],0),COLUMN(Master_Table[K^02]))</f>
        <v>103853.00739853692</v>
      </c>
      <c r="N39" s="276">
        <f t="shared" si="23"/>
        <v>2350.0497461149062</v>
      </c>
      <c r="O39" s="291">
        <f>IF((H39+N39)&gt;0,IF(Simulator!$N$38=1800,Simulator!N57,MROUND(N39+H39,5)),0)</f>
        <v>2350</v>
      </c>
      <c r="Q39" s="79">
        <f>INDEX(Master_Table[],MATCH(Simulator!$E57,Master_Table[P/N],0),COLUMN(Master_Table[V^4]))</f>
        <v>-1.815579229696846E-12</v>
      </c>
      <c r="R39" s="255">
        <f>INDEX(Master_Table[],MATCH(Simulator!$E57,Master_Table[P/N],0),COLUMN(Master_Table[V^3]))</f>
        <v>1.1117377394504817E-8</v>
      </c>
      <c r="S39" s="255">
        <f>INDEX(Master_Table[],MATCH(Simulator!$E57,Master_Table[P/N],0),COLUMN(Master_Table[V^2]))</f>
        <v>-2.3776258792391319E-5</v>
      </c>
      <c r="T39" s="255">
        <f>INDEX(Master_Table[],MATCH(Simulator!$E57,Master_Table[P/N],0),COLUMN(Master_Table[V]))</f>
        <v>2.2236280990342517E-2</v>
      </c>
      <c r="U39" s="255">
        <f>INDEX(Master_Table[],MATCH(Simulator!$E57,Master_Table[P/N],0),COLUMN(Master_Table[V0]))</f>
        <v>36.649246057874421</v>
      </c>
      <c r="V39" s="220">
        <f t="shared" si="24"/>
        <v>46.50850466324291</v>
      </c>
      <c r="W39" s="80">
        <f>(F$1-25)*INDEX(Master_Table[],MATCH(Simulator!$E57,Master_Table[P/N],0),COLUMN(Master_Table[dV/dT (mV/C)]))/1000</f>
        <v>0</v>
      </c>
      <c r="X39" s="80">
        <f t="shared" si="25"/>
        <v>46.50850466324291</v>
      </c>
      <c r="Z39" s="79">
        <f>INDEX(Master_Table[],MATCH(Simulator!$E57,Master_Table[P/N],0),COLUMN(Master_Table[I^4]))</f>
        <v>-3.600934239272689E-16</v>
      </c>
      <c r="AA39" s="255">
        <f>INDEX(Master_Table[],MATCH(Simulator!$E57,Master_Table[P/N],0),COLUMN(Master_Table[I^3]))</f>
        <v>-2.1787507029213258E-11</v>
      </c>
      <c r="AB39" s="255">
        <f>INDEX(Master_Table[],MATCH(Simulator!$E57,Master_Table[P/N],0),COLUMN(Master_Table[I^2]))</f>
        <v>9.1071748257993089E-8</v>
      </c>
      <c r="AC39" s="255">
        <f>INDEX(Master_Table[],MATCH(Simulator!$E57,Master_Table[P/N],0),COLUMN(Master_Table[I]))</f>
        <v>3.3673923240876266E-4</v>
      </c>
      <c r="AD39" s="255">
        <f>INDEX(Master_Table[],MATCH(Simulator!$E57,Master_Table[P/N],0),COLUMN(Master_Table[I0]))</f>
        <v>-5.2500142594142599E-4</v>
      </c>
      <c r="AE39" s="292">
        <f t="shared" si="26"/>
        <v>1.000018250209149</v>
      </c>
      <c r="AF39" s="80">
        <f t="shared" si="27"/>
        <v>12322.784889297251</v>
      </c>
    </row>
  </sheetData>
  <mergeCells count="4">
    <mergeCell ref="C22:H22"/>
    <mergeCell ref="I22:N22"/>
    <mergeCell ref="AA3:AG3"/>
    <mergeCell ref="AH3:AM3"/>
  </mergeCells>
  <phoneticPr fontId="61" type="noConversion"/>
  <hyperlinks>
    <hyperlink ref="X4" r:id="rId1"/>
    <hyperlink ref="W23" r:id="rId2"/>
    <hyperlink ref="AF23" r:id="rId3"/>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AY104"/>
  <sheetViews>
    <sheetView topLeftCell="A41" workbookViewId="0">
      <selection activeCell="AR70" sqref="AR70"/>
    </sheetView>
  </sheetViews>
  <sheetFormatPr defaultRowHeight="15.75" x14ac:dyDescent="0.25"/>
  <cols>
    <col min="1" max="1" width="14.42578125" style="3" customWidth="1"/>
    <col min="2" max="2" width="16.5703125" style="3" bestFit="1" customWidth="1"/>
    <col min="3" max="3" width="21.85546875" style="3" bestFit="1" customWidth="1"/>
    <col min="4" max="4" width="18.5703125" style="3" bestFit="1" customWidth="1"/>
    <col min="5" max="5" width="15.7109375" style="3" bestFit="1" customWidth="1"/>
    <col min="6" max="6" width="13.42578125" style="3" bestFit="1" customWidth="1"/>
    <col min="7" max="7" width="7.42578125" style="3" bestFit="1" customWidth="1"/>
    <col min="8" max="8" width="21.140625" style="3" bestFit="1" customWidth="1"/>
    <col min="9" max="9" width="36.7109375" style="3" customWidth="1"/>
    <col min="10" max="10" width="13.5703125" style="3" bestFit="1" customWidth="1"/>
    <col min="11" max="11" width="16.5703125" style="3" customWidth="1"/>
    <col min="12" max="12" width="16.42578125" style="3" customWidth="1"/>
    <col min="13" max="13" width="16.85546875" style="3" bestFit="1" customWidth="1"/>
    <col min="14" max="14" width="16.5703125" style="3" customWidth="1"/>
    <col min="15" max="15" width="20.28515625" style="3" customWidth="1"/>
    <col min="16" max="16" width="15.7109375" style="3" bestFit="1" customWidth="1"/>
    <col min="17" max="17" width="9.7109375" style="3" bestFit="1" customWidth="1"/>
    <col min="18" max="18" width="12" style="3" bestFit="1" customWidth="1"/>
    <col min="19" max="19" width="10.140625" style="3" bestFit="1" customWidth="1"/>
    <col min="20" max="20" width="9.42578125" style="3" bestFit="1" customWidth="1"/>
    <col min="21" max="21" width="9.7109375" style="3" bestFit="1" customWidth="1"/>
    <col min="22" max="22" width="9.5703125" style="3" bestFit="1" customWidth="1"/>
    <col min="23" max="23" width="10" style="3" bestFit="1" customWidth="1"/>
    <col min="24" max="31" width="9.140625" style="3"/>
    <col min="32" max="36" width="12.7109375" style="3" bestFit="1" customWidth="1"/>
    <col min="37" max="41" width="12.7109375" style="3" customWidth="1"/>
    <col min="42" max="42" width="11.5703125" style="3" bestFit="1" customWidth="1"/>
    <col min="43" max="44" width="12" style="3" bestFit="1" customWidth="1"/>
    <col min="45" max="46" width="12.28515625" style="3" bestFit="1" customWidth="1"/>
    <col min="47" max="16384" width="9.140625" style="3"/>
  </cols>
  <sheetData>
    <row r="2" spans="1:51" x14ac:dyDescent="0.25">
      <c r="A2" s="1" t="s">
        <v>18</v>
      </c>
      <c r="B2" s="1"/>
      <c r="M2" s="310"/>
      <c r="N2" s="310"/>
      <c r="O2" s="310"/>
      <c r="P2" s="310"/>
      <c r="Q2" s="310"/>
      <c r="R2" s="310"/>
      <c r="S2" s="310"/>
      <c r="T2" s="310"/>
      <c r="U2" s="310"/>
      <c r="V2" s="310"/>
      <c r="W2" s="310"/>
      <c r="X2" s="310"/>
      <c r="Y2" s="310"/>
      <c r="Z2" s="310"/>
      <c r="AA2" s="310"/>
      <c r="AB2" s="310"/>
      <c r="AC2" s="310"/>
      <c r="AD2" s="310"/>
      <c r="AE2" s="310"/>
      <c r="AF2" s="310"/>
      <c r="AG2" s="310"/>
      <c r="AH2" s="310"/>
      <c r="AI2" s="310"/>
      <c r="AJ2" s="310"/>
      <c r="AK2" s="231"/>
      <c r="AL2" s="231"/>
      <c r="AM2" s="231"/>
      <c r="AN2" s="231"/>
      <c r="AO2" s="231"/>
    </row>
    <row r="3" spans="1:51" x14ac:dyDescent="0.25">
      <c r="K3" s="310"/>
      <c r="L3" s="310"/>
      <c r="M3" s="310" t="s">
        <v>45</v>
      </c>
      <c r="N3" s="310"/>
      <c r="O3" s="310"/>
      <c r="P3" s="310"/>
      <c r="Q3" s="310" t="s">
        <v>42</v>
      </c>
      <c r="R3" s="310"/>
      <c r="S3" s="310"/>
      <c r="T3" s="310"/>
      <c r="U3" s="310"/>
      <c r="V3" s="310" t="s">
        <v>41</v>
      </c>
      <c r="W3" s="310"/>
      <c r="X3" s="310"/>
      <c r="Y3" s="310"/>
      <c r="Z3" s="310"/>
      <c r="AA3" s="310" t="s">
        <v>40</v>
      </c>
      <c r="AB3" s="310"/>
      <c r="AC3" s="310"/>
      <c r="AD3" s="310"/>
      <c r="AE3" s="310"/>
      <c r="AF3" s="310" t="s">
        <v>151</v>
      </c>
      <c r="AG3" s="310"/>
      <c r="AH3" s="310"/>
      <c r="AI3" s="310"/>
      <c r="AJ3" s="310"/>
      <c r="AK3" s="310" t="s">
        <v>152</v>
      </c>
      <c r="AL3" s="310"/>
      <c r="AM3" s="310"/>
      <c r="AN3" s="310"/>
      <c r="AO3" s="310"/>
      <c r="AP3" s="310" t="s">
        <v>118</v>
      </c>
      <c r="AQ3" s="310"/>
      <c r="AR3" s="310"/>
      <c r="AS3" s="310"/>
      <c r="AT3" s="310"/>
      <c r="AU3" s="310"/>
      <c r="AV3" s="310"/>
      <c r="AW3" s="310"/>
      <c r="AX3" s="310"/>
      <c r="AY3" s="310"/>
    </row>
    <row r="4" spans="1:51" s="117" customFormat="1" ht="16.5" thickBot="1" x14ac:dyDescent="0.3">
      <c r="A4" s="117" t="s">
        <v>54</v>
      </c>
      <c r="B4" s="117" t="s">
        <v>19</v>
      </c>
      <c r="C4" s="117" t="s">
        <v>38</v>
      </c>
      <c r="D4" s="117" t="s">
        <v>39</v>
      </c>
      <c r="E4" s="117" t="s">
        <v>20</v>
      </c>
      <c r="F4" s="117" t="s">
        <v>21</v>
      </c>
      <c r="G4" s="117" t="s">
        <v>55</v>
      </c>
      <c r="H4" s="117" t="s">
        <v>56</v>
      </c>
      <c r="I4" s="117" t="s">
        <v>22</v>
      </c>
      <c r="J4" s="117" t="s">
        <v>135</v>
      </c>
      <c r="K4" s="117" t="s">
        <v>26</v>
      </c>
      <c r="L4" s="117" t="s">
        <v>27</v>
      </c>
      <c r="M4" s="117" t="s">
        <v>23</v>
      </c>
      <c r="N4" s="117" t="s">
        <v>24</v>
      </c>
      <c r="O4" s="117" t="s">
        <v>25</v>
      </c>
      <c r="P4" s="117" t="s">
        <v>43</v>
      </c>
      <c r="Q4" s="117" t="s">
        <v>28</v>
      </c>
      <c r="R4" s="117" t="s">
        <v>29</v>
      </c>
      <c r="S4" s="117" t="s">
        <v>30</v>
      </c>
      <c r="T4" s="117" t="s">
        <v>31</v>
      </c>
      <c r="U4" s="117" t="s">
        <v>32</v>
      </c>
      <c r="V4" s="117" t="s">
        <v>17</v>
      </c>
      <c r="W4" s="117" t="s">
        <v>4</v>
      </c>
      <c r="X4" s="117" t="s">
        <v>5</v>
      </c>
      <c r="Y4" s="117" t="s">
        <v>33</v>
      </c>
      <c r="Z4" s="117" t="s">
        <v>34</v>
      </c>
      <c r="AA4" s="117" t="s">
        <v>16</v>
      </c>
      <c r="AB4" s="117" t="s">
        <v>0</v>
      </c>
      <c r="AC4" s="117" t="s">
        <v>1</v>
      </c>
      <c r="AD4" s="117" t="s">
        <v>35</v>
      </c>
      <c r="AE4" s="117" t="s">
        <v>36</v>
      </c>
      <c r="AF4" s="117" t="s">
        <v>119</v>
      </c>
      <c r="AG4" s="117" t="s">
        <v>120</v>
      </c>
      <c r="AH4" s="117" t="s">
        <v>121</v>
      </c>
      <c r="AI4" s="117" t="s">
        <v>122</v>
      </c>
      <c r="AJ4" s="117" t="s">
        <v>123</v>
      </c>
      <c r="AK4" s="117" t="s">
        <v>145</v>
      </c>
      <c r="AL4" s="117" t="s">
        <v>146</v>
      </c>
      <c r="AM4" s="117" t="s">
        <v>147</v>
      </c>
      <c r="AN4" s="117" t="s">
        <v>148</v>
      </c>
      <c r="AO4" s="117" t="s">
        <v>137</v>
      </c>
      <c r="AP4" s="199" t="s">
        <v>124</v>
      </c>
      <c r="AQ4" s="199" t="s">
        <v>125</v>
      </c>
      <c r="AR4" s="199" t="s">
        <v>126</v>
      </c>
      <c r="AS4" s="199" t="s">
        <v>127</v>
      </c>
      <c r="AT4" s="199" t="s">
        <v>128</v>
      </c>
      <c r="AU4" s="117" t="s">
        <v>140</v>
      </c>
      <c r="AV4" s="117" t="s">
        <v>141</v>
      </c>
      <c r="AW4" s="117" t="s">
        <v>142</v>
      </c>
      <c r="AX4" s="117" t="s">
        <v>136</v>
      </c>
      <c r="AY4" s="117" t="s">
        <v>143</v>
      </c>
    </row>
    <row r="5" spans="1:51" s="96" customFormat="1" x14ac:dyDescent="0.25">
      <c r="A5" s="120" t="s">
        <v>46</v>
      </c>
      <c r="B5" s="124" t="s">
        <v>37</v>
      </c>
      <c r="C5" s="124" t="s">
        <v>104</v>
      </c>
      <c r="D5" s="124" t="s">
        <v>92</v>
      </c>
      <c r="E5" s="125" t="s">
        <v>105</v>
      </c>
      <c r="F5" s="124" t="s">
        <v>15</v>
      </c>
      <c r="G5" s="124" t="s">
        <v>15</v>
      </c>
      <c r="H5" s="124" t="str">
        <f>Master_Table[[#This Row],[LES-Type]]&amp;"-"&amp;Master_Table[[#This Row],[Nominal CCT+CRI]]&amp;Master_Table[[#This Row],[Tech]]</f>
        <v>6mm-1827GA</v>
      </c>
      <c r="I5" s="124"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BXRV-DR-1827G-0600-A-13</v>
      </c>
      <c r="J5" s="124">
        <v>14</v>
      </c>
      <c r="K5" s="126">
        <v>350</v>
      </c>
      <c r="L5" s="127">
        <v>420</v>
      </c>
      <c r="M5" s="133">
        <v>627</v>
      </c>
      <c r="N5" s="134">
        <f>Master_Table[[#This Row],[Typical Lumens]]/(Master_Table[[#This Row],[Typical Voltage]]*Master_Table[[#This Row],[Typical Current]]/1000)</f>
        <v>105.3781512605042</v>
      </c>
      <c r="O5" s="135">
        <v>17</v>
      </c>
      <c r="P5" s="127">
        <v>-6.1</v>
      </c>
      <c r="Q5" s="208">
        <v>-8.376945271258572E-10</v>
      </c>
      <c r="R5" s="206">
        <v>8.9384798476104261E-7</v>
      </c>
      <c r="S5" s="206">
        <v>-3.4918548154403849E-4</v>
      </c>
      <c r="T5" s="128">
        <v>6.7662061532231255E-2</v>
      </c>
      <c r="U5" s="151">
        <v>10.340421103916475</v>
      </c>
      <c r="V5" s="209">
        <v>2.5527298190086784E-12</v>
      </c>
      <c r="W5" s="137">
        <v>-1.1222752115618928E-8</v>
      </c>
      <c r="X5" s="136">
        <v>7.7450141538800007E-6</v>
      </c>
      <c r="Y5" s="136">
        <v>1.4039619916702939E-3</v>
      </c>
      <c r="Z5" s="138">
        <v>2.7144267987603832E-3</v>
      </c>
      <c r="AA5" s="212">
        <v>0</v>
      </c>
      <c r="AB5" s="142">
        <v>-2.3576793399445561E-8</v>
      </c>
      <c r="AC5" s="136">
        <v>2.2657074525315222E-8</v>
      </c>
      <c r="AD5" s="136">
        <v>-1.0052927172015966E-3</v>
      </c>
      <c r="AE5" s="127">
        <v>1.0254865446553281</v>
      </c>
      <c r="AF5" s="212">
        <v>6.4156947867695485E-8</v>
      </c>
      <c r="AG5" s="142">
        <v>-4.5361634125887272E-5</v>
      </c>
      <c r="AH5" s="142">
        <v>1.3882185029054264E-3</v>
      </c>
      <c r="AI5" s="142">
        <v>5.1060272500489212</v>
      </c>
      <c r="AJ5" s="146">
        <v>1716.8924668712493</v>
      </c>
      <c r="AK5" s="212">
        <v>6.4156947867695485E-8</v>
      </c>
      <c r="AL5" s="142">
        <v>-4.5361634125887272E-5</v>
      </c>
      <c r="AM5" s="142">
        <v>1.3882185029054264E-3</v>
      </c>
      <c r="AN5" s="142">
        <v>5.1060272500489212</v>
      </c>
      <c r="AO5" s="146">
        <v>1716.8924668712493</v>
      </c>
      <c r="AP5" s="237">
        <v>1.8089828595020265E-9</v>
      </c>
      <c r="AQ5" s="238">
        <v>-1.5300963254309649E-5</v>
      </c>
      <c r="AR5" s="238">
        <v>4.8307059621455581E-2</v>
      </c>
      <c r="AS5" s="238">
        <v>-67.24666748668308</v>
      </c>
      <c r="AT5" s="239">
        <v>34789.640964675062</v>
      </c>
      <c r="AU5" s="237">
        <v>1.8089828595020265E-9</v>
      </c>
      <c r="AV5" s="238">
        <v>-1.5300963254309649E-5</v>
      </c>
      <c r="AW5" s="238">
        <v>4.8307059621455581E-2</v>
      </c>
      <c r="AX5" s="238">
        <v>-67.24666748668308</v>
      </c>
      <c r="AY5" s="239">
        <v>34789.640964675062</v>
      </c>
    </row>
    <row r="6" spans="1:51" s="86" customFormat="1" x14ac:dyDescent="0.25">
      <c r="A6" s="95" t="s">
        <v>46</v>
      </c>
      <c r="B6" s="86" t="s">
        <v>37</v>
      </c>
      <c r="C6" s="86" t="s">
        <v>104</v>
      </c>
      <c r="D6" s="86" t="s">
        <v>64</v>
      </c>
      <c r="E6" s="99" t="s">
        <v>105</v>
      </c>
      <c r="F6" s="86" t="s">
        <v>15</v>
      </c>
      <c r="G6" s="86" t="s">
        <v>15</v>
      </c>
      <c r="H6" s="86" t="str">
        <f>Master_Table[[#This Row],[LES-Type]]&amp;"-"&amp;Master_Table[[#This Row],[Nominal CCT+CRI]]&amp;Master_Table[[#This Row],[Tech]]</f>
        <v>6mm--A</v>
      </c>
      <c r="I6" s="86"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BXRV-DR---0600-A-13</v>
      </c>
      <c r="J6" s="86">
        <v>14</v>
      </c>
      <c r="K6" s="86">
        <v>350</v>
      </c>
      <c r="L6" s="87">
        <v>420</v>
      </c>
      <c r="M6" s="85" t="s">
        <v>64</v>
      </c>
      <c r="N6" s="94" t="e">
        <f>Master_Table[[#This Row],[Typical Lumens]]/(Master_Table[[#This Row],[Typical Voltage]]*Master_Table[[#This Row],[Typical Current]]/1000)</f>
        <v>#VALUE!</v>
      </c>
      <c r="O6" s="86" t="s">
        <v>64</v>
      </c>
      <c r="P6" s="87" t="s">
        <v>64</v>
      </c>
      <c r="Q6" s="211">
        <v>-8.376945271258572E-10</v>
      </c>
      <c r="R6" s="205">
        <v>8.9384798476104261E-7</v>
      </c>
      <c r="S6" s="205">
        <v>-3.4918548154403849E-4</v>
      </c>
      <c r="T6" s="205">
        <v>6.7662061532231255E-2</v>
      </c>
      <c r="U6" s="207">
        <v>10.340421103916475</v>
      </c>
      <c r="V6" s="208">
        <v>2.5527298190086784E-12</v>
      </c>
      <c r="W6" s="81">
        <v>-1.1222752115618928E-8</v>
      </c>
      <c r="X6" s="82">
        <v>7.7450141538800007E-6</v>
      </c>
      <c r="Y6" s="82">
        <v>1.4039619916702939E-3</v>
      </c>
      <c r="Z6" s="139">
        <v>2.7144267987603832E-3</v>
      </c>
      <c r="AA6" s="213">
        <v>0</v>
      </c>
      <c r="AB6" s="83">
        <v>-2.3576793399445561E-8</v>
      </c>
      <c r="AC6" s="84">
        <v>2.2657074525315222E-8</v>
      </c>
      <c r="AD6" s="84">
        <v>-1.0052927172015966E-3</v>
      </c>
      <c r="AE6" s="143">
        <v>1.0254865446553281</v>
      </c>
      <c r="AF6" s="213">
        <v>6.4156947867695485E-8</v>
      </c>
      <c r="AG6" s="83">
        <v>-4.5361634125887272E-5</v>
      </c>
      <c r="AH6" s="83">
        <v>1.3882185029054264E-3</v>
      </c>
      <c r="AI6" s="83">
        <v>5.1060272500489212</v>
      </c>
      <c r="AJ6" s="147">
        <v>1716.8924668712493</v>
      </c>
      <c r="AK6" s="213">
        <v>6.4156947867695485E-8</v>
      </c>
      <c r="AL6" s="83">
        <v>-4.5361634125887272E-5</v>
      </c>
      <c r="AM6" s="83">
        <v>1.3882185029054264E-3</v>
      </c>
      <c r="AN6" s="83">
        <v>5.1060272500489212</v>
      </c>
      <c r="AO6" s="147">
        <v>1716.8924668712493</v>
      </c>
      <c r="AP6" s="200">
        <v>1.8089828595020265E-9</v>
      </c>
      <c r="AQ6" s="129">
        <v>-1.5300963254309649E-5</v>
      </c>
      <c r="AR6" s="129">
        <v>4.8307059621455581E-2</v>
      </c>
      <c r="AS6" s="129">
        <v>-67.24666748668308</v>
      </c>
      <c r="AT6" s="201">
        <v>34789.640964675062</v>
      </c>
      <c r="AU6" s="200">
        <v>1.8089828595020265E-9</v>
      </c>
      <c r="AV6" s="129">
        <v>-1.5300963254309649E-5</v>
      </c>
      <c r="AW6" s="129">
        <v>4.8307059621455581E-2</v>
      </c>
      <c r="AX6" s="129">
        <v>-67.24666748668308</v>
      </c>
      <c r="AY6" s="201">
        <v>34789.640964675062</v>
      </c>
    </row>
    <row r="7" spans="1:51" s="86" customFormat="1" x14ac:dyDescent="0.25">
      <c r="A7" s="95" t="s">
        <v>46</v>
      </c>
      <c r="B7" s="86" t="s">
        <v>37</v>
      </c>
      <c r="C7" s="86" t="s">
        <v>104</v>
      </c>
      <c r="D7" s="86" t="s">
        <v>44</v>
      </c>
      <c r="E7" s="99" t="s">
        <v>105</v>
      </c>
      <c r="F7" s="86" t="s">
        <v>15</v>
      </c>
      <c r="G7" s="86" t="s">
        <v>15</v>
      </c>
      <c r="H7" s="86" t="str">
        <f>Master_Table[[#This Row],[LES-Type]]&amp;"-"&amp;Master_Table[[#This Row],[Nominal CCT+CRI]]&amp;Master_Table[[#This Row],[Tech]]</f>
        <v>6mm-1830GA</v>
      </c>
      <c r="I7" s="86"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BXRV-DR-1830G-0600-A-13</v>
      </c>
      <c r="J7" s="86">
        <v>14</v>
      </c>
      <c r="K7" s="86">
        <v>350</v>
      </c>
      <c r="L7" s="87">
        <v>420</v>
      </c>
      <c r="M7" s="85">
        <v>660</v>
      </c>
      <c r="N7" s="94">
        <f>Master_Table[[#This Row],[Typical Lumens]]/(Master_Table[[#This Row],[Typical Voltage]]*Master_Table[[#This Row],[Typical Current]]/1000)</f>
        <v>110.92436974789915</v>
      </c>
      <c r="O7" s="86">
        <v>17</v>
      </c>
      <c r="P7" s="87">
        <v>-6.1</v>
      </c>
      <c r="Q7" s="211">
        <v>-8.376945271258572E-10</v>
      </c>
      <c r="R7" s="205">
        <v>8.9384798476104261E-7</v>
      </c>
      <c r="S7" s="205">
        <v>-3.4918548154403849E-4</v>
      </c>
      <c r="T7" s="205">
        <v>6.7662061532231255E-2</v>
      </c>
      <c r="U7" s="207">
        <v>10.340421103916475</v>
      </c>
      <c r="V7" s="208">
        <v>1.2811201598744215E-12</v>
      </c>
      <c r="W7" s="81">
        <v>-9.7037453488817621E-9</v>
      </c>
      <c r="X7" s="82">
        <v>7.6849081607460334E-6</v>
      </c>
      <c r="Y7" s="82">
        <v>1.2921222295407741E-3</v>
      </c>
      <c r="Z7" s="139">
        <v>3.1611823082840339E-3</v>
      </c>
      <c r="AA7" s="213">
        <v>0</v>
      </c>
      <c r="AB7" s="83">
        <v>-2.3576793399445561E-8</v>
      </c>
      <c r="AC7" s="84">
        <v>2.2657074525315222E-8</v>
      </c>
      <c r="AD7" s="84">
        <v>-1.0052927172015966E-3</v>
      </c>
      <c r="AE7" s="143">
        <v>1.0254865446553281</v>
      </c>
      <c r="AF7" s="213">
        <v>8.5542597156927221E-8</v>
      </c>
      <c r="AG7" s="83">
        <v>-6.0482178834516255E-5</v>
      </c>
      <c r="AH7" s="83">
        <v>1.8509580038738749E-3</v>
      </c>
      <c r="AI7" s="83">
        <v>6.8080363333985616</v>
      </c>
      <c r="AJ7" s="147">
        <v>1689.1899558283326</v>
      </c>
      <c r="AK7" s="213">
        <v>8.5542597156927221E-8</v>
      </c>
      <c r="AL7" s="83">
        <v>-6.0482178834516255E-5</v>
      </c>
      <c r="AM7" s="83">
        <v>1.8509580038738749E-3</v>
      </c>
      <c r="AN7" s="83">
        <v>6.8080363333985616</v>
      </c>
      <c r="AO7" s="147">
        <v>1689.1899558283326</v>
      </c>
      <c r="AP7" s="229">
        <v>5.8607965326518762E-10</v>
      </c>
      <c r="AQ7" s="152">
        <v>-5.211847465355833E-6</v>
      </c>
      <c r="AR7" s="152">
        <v>1.7249964274464444E-2</v>
      </c>
      <c r="AS7" s="152">
        <v>-25.017302520980799</v>
      </c>
      <c r="AT7" s="230">
        <v>13399.673690109019</v>
      </c>
      <c r="AU7" s="229">
        <v>5.8607965326518762E-10</v>
      </c>
      <c r="AV7" s="152">
        <v>-5.211847465355833E-6</v>
      </c>
      <c r="AW7" s="152">
        <v>1.7249964274464444E-2</v>
      </c>
      <c r="AX7" s="152">
        <v>-25.017302520980799</v>
      </c>
      <c r="AY7" s="230">
        <v>13399.673690109019</v>
      </c>
    </row>
    <row r="8" spans="1:51" s="86" customFormat="1" ht="16.5" thickBot="1" x14ac:dyDescent="0.3">
      <c r="A8" s="95" t="s">
        <v>46</v>
      </c>
      <c r="B8" s="86" t="s">
        <v>37</v>
      </c>
      <c r="C8" s="86" t="s">
        <v>104</v>
      </c>
      <c r="D8" s="86" t="s">
        <v>64</v>
      </c>
      <c r="E8" s="99" t="s">
        <v>105</v>
      </c>
      <c r="F8" s="86" t="s">
        <v>15</v>
      </c>
      <c r="G8" s="86" t="s">
        <v>15</v>
      </c>
      <c r="H8" s="86" t="str">
        <f>Master_Table[[#This Row],[LES-Type]]&amp;"-"&amp;Master_Table[[#This Row],[Nominal CCT+CRI]]&amp;Master_Table[[#This Row],[Tech]]</f>
        <v>6mm--A</v>
      </c>
      <c r="I8" s="86"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BXRV-DR---0600-A-13</v>
      </c>
      <c r="J8" s="86">
        <v>14</v>
      </c>
      <c r="K8" s="86">
        <v>350</v>
      </c>
      <c r="L8" s="87">
        <v>420</v>
      </c>
      <c r="M8" s="85" t="s">
        <v>64</v>
      </c>
      <c r="N8" s="94" t="e">
        <f>Master_Table[[#This Row],[Typical Lumens]]/(Master_Table[[#This Row],[Typical Voltage]]*Master_Table[[#This Row],[Typical Current]]/1000)</f>
        <v>#VALUE!</v>
      </c>
      <c r="P8" s="87" t="s">
        <v>64</v>
      </c>
      <c r="Q8" s="170">
        <v>-8.376945271258572E-10</v>
      </c>
      <c r="R8" s="168">
        <v>8.9384798476104261E-7</v>
      </c>
      <c r="S8" s="168">
        <v>-3.4918548154403849E-4</v>
      </c>
      <c r="T8" s="168">
        <v>6.7662061532231255E-2</v>
      </c>
      <c r="U8" s="169">
        <v>10.340421103916475</v>
      </c>
      <c r="V8" s="208">
        <v>1.2811201598744215E-12</v>
      </c>
      <c r="W8" s="81">
        <v>-9.7037453488817621E-9</v>
      </c>
      <c r="X8" s="82">
        <v>7.6849081607460334E-6</v>
      </c>
      <c r="Y8" s="82">
        <v>1.2921222295407741E-3</v>
      </c>
      <c r="Z8" s="139">
        <v>3.1611823082840339E-3</v>
      </c>
      <c r="AA8" s="213">
        <v>0</v>
      </c>
      <c r="AB8" s="83">
        <v>-2.3576793399445561E-8</v>
      </c>
      <c r="AC8" s="84">
        <v>2.2657074525315222E-8</v>
      </c>
      <c r="AD8" s="84">
        <v>-1.0052927172015966E-3</v>
      </c>
      <c r="AE8" s="143">
        <v>1.0254865446553281</v>
      </c>
      <c r="AF8" s="213">
        <v>8.5542597156927221E-8</v>
      </c>
      <c r="AG8" s="83">
        <v>-6.0482178834516255E-5</v>
      </c>
      <c r="AH8" s="83">
        <v>1.8509580038738749E-3</v>
      </c>
      <c r="AI8" s="83">
        <v>6.8080363333985616</v>
      </c>
      <c r="AJ8" s="147">
        <v>1689.1899558283326</v>
      </c>
      <c r="AK8" s="213">
        <v>8.5542597156927221E-8</v>
      </c>
      <c r="AL8" s="83">
        <v>-6.0482178834516255E-5</v>
      </c>
      <c r="AM8" s="83">
        <v>1.8509580038738749E-3</v>
      </c>
      <c r="AN8" s="83">
        <v>6.8080363333985616</v>
      </c>
      <c r="AO8" s="147">
        <v>1689.1899558283326</v>
      </c>
      <c r="AP8" s="200">
        <v>5.8607965326518762E-10</v>
      </c>
      <c r="AQ8" s="152">
        <v>-5.211847465355833E-6</v>
      </c>
      <c r="AR8" s="152">
        <v>1.7249964274464444E-2</v>
      </c>
      <c r="AS8" s="152">
        <v>-25.017302520980799</v>
      </c>
      <c r="AT8" s="230">
        <v>13399.673690109019</v>
      </c>
      <c r="AU8" s="200">
        <v>5.8607965326518762E-10</v>
      </c>
      <c r="AV8" s="152">
        <v>-5.211847465355833E-6</v>
      </c>
      <c r="AW8" s="152">
        <v>1.7249964274464444E-2</v>
      </c>
      <c r="AX8" s="152">
        <v>-25.017302520980799</v>
      </c>
      <c r="AY8" s="230">
        <v>13399.673690109019</v>
      </c>
    </row>
    <row r="9" spans="1:51" s="86" customFormat="1" x14ac:dyDescent="0.25">
      <c r="A9" s="120" t="s">
        <v>159</v>
      </c>
      <c r="B9" s="121" t="s">
        <v>37</v>
      </c>
      <c r="C9" s="121" t="s">
        <v>104</v>
      </c>
      <c r="D9" s="124" t="s">
        <v>92</v>
      </c>
      <c r="E9" s="125" t="s">
        <v>105</v>
      </c>
      <c r="F9" s="121" t="s">
        <v>15</v>
      </c>
      <c r="G9" s="121" t="s">
        <v>15</v>
      </c>
      <c r="H9" s="122" t="str">
        <f>Master_Table[[#This Row],[LES-Type]]&amp;"-"&amp;Master_Table[[#This Row],[Nominal CCT+CRI]]&amp;Master_Table[[#This Row],[Tech]]</f>
        <v>Vesta-SE 6mm-1827GA</v>
      </c>
      <c r="I9" s="122"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BXRV-DR-1827G-0600-A-13-SE</v>
      </c>
      <c r="J9" s="124">
        <v>14</v>
      </c>
      <c r="K9" s="126">
        <v>350</v>
      </c>
      <c r="L9" s="127">
        <v>420</v>
      </c>
      <c r="M9" s="133">
        <f>M5*0.95</f>
        <v>595.65</v>
      </c>
      <c r="N9" s="134">
        <f>Master_Table[[#This Row],[Typical Lumens]]/(Master_Table[[#This Row],[Typical Voltage]]*Master_Table[[#This Row],[Typical Current]]/1000)</f>
        <v>100.10924369747899</v>
      </c>
      <c r="O9" s="135">
        <v>17</v>
      </c>
      <c r="P9" s="127">
        <v>-6.1</v>
      </c>
      <c r="Q9" s="208">
        <v>-8.376945271258572E-10</v>
      </c>
      <c r="R9" s="206">
        <v>8.9384798476104261E-7</v>
      </c>
      <c r="S9" s="206">
        <v>-3.4918548154403849E-4</v>
      </c>
      <c r="T9" s="128">
        <v>6.7662061532231255E-2</v>
      </c>
      <c r="U9" s="151">
        <v>10.340421103916475</v>
      </c>
      <c r="V9" s="209">
        <v>2.5527298190086784E-12</v>
      </c>
      <c r="W9" s="137">
        <v>-1.1222752115618928E-8</v>
      </c>
      <c r="X9" s="136">
        <v>7.7450141538800007E-6</v>
      </c>
      <c r="Y9" s="136">
        <v>1.4039619916702939E-3</v>
      </c>
      <c r="Z9" s="138">
        <v>2.7144267987603832E-3</v>
      </c>
      <c r="AA9" s="212">
        <v>0</v>
      </c>
      <c r="AB9" s="142">
        <v>-2.3576793399445561E-8</v>
      </c>
      <c r="AC9" s="136">
        <v>2.2657074525315222E-8</v>
      </c>
      <c r="AD9" s="136">
        <v>-1.0052927172015966E-3</v>
      </c>
      <c r="AE9" s="127">
        <v>1.0254865446553281</v>
      </c>
      <c r="AF9" s="212">
        <v>6.4156947867695485E-8</v>
      </c>
      <c r="AG9" s="142">
        <v>-4.5361634125887272E-5</v>
      </c>
      <c r="AH9" s="142">
        <v>1.3882185029054264E-3</v>
      </c>
      <c r="AI9" s="142">
        <v>5.1060272500489212</v>
      </c>
      <c r="AJ9" s="146">
        <v>1716.8924668712493</v>
      </c>
      <c r="AK9" s="212">
        <v>6.4156947867695485E-8</v>
      </c>
      <c r="AL9" s="142">
        <v>-4.5361634125887272E-5</v>
      </c>
      <c r="AM9" s="142">
        <v>1.3882185029054264E-3</v>
      </c>
      <c r="AN9" s="142">
        <v>5.1060272500489212</v>
      </c>
      <c r="AO9" s="146">
        <v>1716.8924668712493</v>
      </c>
      <c r="AP9" s="237">
        <v>1.8089828595020265E-9</v>
      </c>
      <c r="AQ9" s="238">
        <v>-1.5300963254309649E-5</v>
      </c>
      <c r="AR9" s="238">
        <v>4.8307059621455581E-2</v>
      </c>
      <c r="AS9" s="238">
        <v>-67.24666748668308</v>
      </c>
      <c r="AT9" s="239">
        <v>34789.640964675062</v>
      </c>
      <c r="AU9" s="237">
        <v>1.8089828595020265E-9</v>
      </c>
      <c r="AV9" s="238">
        <v>-1.5300963254309649E-5</v>
      </c>
      <c r="AW9" s="238">
        <v>4.8307059621455581E-2</v>
      </c>
      <c r="AX9" s="238">
        <v>-67.24666748668308</v>
      </c>
      <c r="AY9" s="239">
        <v>34789.640964675062</v>
      </c>
    </row>
    <row r="10" spans="1:51" s="86" customFormat="1" x14ac:dyDescent="0.25">
      <c r="A10" s="95" t="s">
        <v>159</v>
      </c>
      <c r="B10" s="86" t="s">
        <v>37</v>
      </c>
      <c r="C10" s="86" t="s">
        <v>104</v>
      </c>
      <c r="D10" s="86" t="s">
        <v>64</v>
      </c>
      <c r="E10" s="99" t="s">
        <v>105</v>
      </c>
      <c r="F10" s="86" t="s">
        <v>15</v>
      </c>
      <c r="G10" s="86" t="s">
        <v>15</v>
      </c>
      <c r="H10" s="118" t="str">
        <f>Master_Table[[#This Row],[LES-Type]]&amp;"-"&amp;Master_Table[[#This Row],[Nominal CCT+CRI]]&amp;Master_Table[[#This Row],[Tech]]</f>
        <v>Vesta-SE 6mm--A</v>
      </c>
      <c r="I10"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BXRV-DR---0600-A-13-SE</v>
      </c>
      <c r="J10" s="86">
        <v>14</v>
      </c>
      <c r="K10" s="86">
        <v>350</v>
      </c>
      <c r="L10" s="87">
        <v>420</v>
      </c>
      <c r="M10" s="85" t="s">
        <v>64</v>
      </c>
      <c r="N10" s="94" t="e">
        <f>Master_Table[[#This Row],[Typical Lumens]]/(Master_Table[[#This Row],[Typical Voltage]]*Master_Table[[#This Row],[Typical Current]]/1000)</f>
        <v>#VALUE!</v>
      </c>
      <c r="O10" s="86" t="s">
        <v>64</v>
      </c>
      <c r="P10" s="87" t="s">
        <v>64</v>
      </c>
      <c r="Q10" s="211">
        <v>-8.376945271258572E-10</v>
      </c>
      <c r="R10" s="205">
        <v>8.9384798476104261E-7</v>
      </c>
      <c r="S10" s="205">
        <v>-3.4918548154403849E-4</v>
      </c>
      <c r="T10" s="205">
        <v>6.7662061532231255E-2</v>
      </c>
      <c r="U10" s="207">
        <v>10.340421103916475</v>
      </c>
      <c r="V10" s="208">
        <v>2.5527298190086784E-12</v>
      </c>
      <c r="W10" s="81">
        <v>-1.1222752115618928E-8</v>
      </c>
      <c r="X10" s="82">
        <v>7.7450141538800007E-6</v>
      </c>
      <c r="Y10" s="82">
        <v>1.4039619916702939E-3</v>
      </c>
      <c r="Z10" s="139">
        <v>2.7144267987603832E-3</v>
      </c>
      <c r="AA10" s="213">
        <v>0</v>
      </c>
      <c r="AB10" s="83">
        <v>-2.3576793399445561E-8</v>
      </c>
      <c r="AC10" s="84">
        <v>2.2657074525315222E-8</v>
      </c>
      <c r="AD10" s="84">
        <v>-1.0052927172015966E-3</v>
      </c>
      <c r="AE10" s="143">
        <v>1.0254865446553281</v>
      </c>
      <c r="AF10" s="213">
        <v>6.4156947867695485E-8</v>
      </c>
      <c r="AG10" s="83">
        <v>-4.5361634125887272E-5</v>
      </c>
      <c r="AH10" s="83">
        <v>1.3882185029054264E-3</v>
      </c>
      <c r="AI10" s="83">
        <v>5.1060272500489212</v>
      </c>
      <c r="AJ10" s="147">
        <v>1716.8924668712493</v>
      </c>
      <c r="AK10" s="213">
        <v>6.4156947867695485E-8</v>
      </c>
      <c r="AL10" s="83">
        <v>-4.5361634125887272E-5</v>
      </c>
      <c r="AM10" s="83">
        <v>1.3882185029054264E-3</v>
      </c>
      <c r="AN10" s="83">
        <v>5.1060272500489212</v>
      </c>
      <c r="AO10" s="147">
        <v>1716.8924668712493</v>
      </c>
      <c r="AP10" s="200">
        <v>1.8089828595020265E-9</v>
      </c>
      <c r="AQ10" s="129">
        <v>-1.5300963254309649E-5</v>
      </c>
      <c r="AR10" s="129">
        <v>4.8307059621455581E-2</v>
      </c>
      <c r="AS10" s="129">
        <v>-67.24666748668308</v>
      </c>
      <c r="AT10" s="201">
        <v>34789.640964675062</v>
      </c>
      <c r="AU10" s="200">
        <v>1.8089828595020265E-9</v>
      </c>
      <c r="AV10" s="129">
        <v>-1.5300963254309649E-5</v>
      </c>
      <c r="AW10" s="129">
        <v>4.8307059621455581E-2</v>
      </c>
      <c r="AX10" s="129">
        <v>-67.24666748668308</v>
      </c>
      <c r="AY10" s="201">
        <v>34789.640964675062</v>
      </c>
    </row>
    <row r="11" spans="1:51" s="86" customFormat="1" x14ac:dyDescent="0.25">
      <c r="A11" s="95" t="s">
        <v>159</v>
      </c>
      <c r="B11" s="86" t="s">
        <v>37</v>
      </c>
      <c r="C11" s="86" t="s">
        <v>104</v>
      </c>
      <c r="D11" s="86" t="s">
        <v>44</v>
      </c>
      <c r="E11" s="99" t="s">
        <v>105</v>
      </c>
      <c r="F11" s="86" t="s">
        <v>15</v>
      </c>
      <c r="G11" s="86" t="s">
        <v>15</v>
      </c>
      <c r="H11" s="118" t="str">
        <f>Master_Table[[#This Row],[LES-Type]]&amp;"-"&amp;Master_Table[[#This Row],[Nominal CCT+CRI]]&amp;Master_Table[[#This Row],[Tech]]</f>
        <v>Vesta-SE 6mm-1830GA</v>
      </c>
      <c r="I11"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BXRV-DR-1830G-0600-A-13-SE</v>
      </c>
      <c r="J11" s="86">
        <v>14</v>
      </c>
      <c r="K11" s="86">
        <v>350</v>
      </c>
      <c r="L11" s="87">
        <v>420</v>
      </c>
      <c r="M11" s="211">
        <f>M7*0.95</f>
        <v>627</v>
      </c>
      <c r="N11" s="94">
        <f>Master_Table[[#This Row],[Typical Lumens]]/(Master_Table[[#This Row],[Typical Voltage]]*Master_Table[[#This Row],[Typical Current]]/1000)</f>
        <v>105.3781512605042</v>
      </c>
      <c r="O11" s="86">
        <v>17</v>
      </c>
      <c r="P11" s="87">
        <v>-6.1</v>
      </c>
      <c r="Q11" s="211">
        <v>-8.376945271258572E-10</v>
      </c>
      <c r="R11" s="205">
        <v>8.9384798476104261E-7</v>
      </c>
      <c r="S11" s="205">
        <v>-3.4918548154403849E-4</v>
      </c>
      <c r="T11" s="205">
        <v>6.7662061532231255E-2</v>
      </c>
      <c r="U11" s="207">
        <v>10.340421103916475</v>
      </c>
      <c r="V11" s="208">
        <v>1.2811201598744215E-12</v>
      </c>
      <c r="W11" s="81">
        <v>-9.7037453488817621E-9</v>
      </c>
      <c r="X11" s="82">
        <v>7.6849081607460334E-6</v>
      </c>
      <c r="Y11" s="82">
        <v>1.2921222295407741E-3</v>
      </c>
      <c r="Z11" s="139">
        <v>3.1611823082840339E-3</v>
      </c>
      <c r="AA11" s="213">
        <v>0</v>
      </c>
      <c r="AB11" s="83">
        <v>-2.3576793399445561E-8</v>
      </c>
      <c r="AC11" s="84">
        <v>2.2657074525315222E-8</v>
      </c>
      <c r="AD11" s="84">
        <v>-1.0052927172015966E-3</v>
      </c>
      <c r="AE11" s="143">
        <v>1.0254865446553281</v>
      </c>
      <c r="AF11" s="213">
        <v>8.5542597156927221E-8</v>
      </c>
      <c r="AG11" s="83">
        <v>-6.0482178834516255E-5</v>
      </c>
      <c r="AH11" s="83">
        <v>1.8509580038738749E-3</v>
      </c>
      <c r="AI11" s="83">
        <v>6.8080363333985616</v>
      </c>
      <c r="AJ11" s="147">
        <v>1689.1899558283326</v>
      </c>
      <c r="AK11" s="213">
        <v>8.5542597156927221E-8</v>
      </c>
      <c r="AL11" s="83">
        <v>-6.0482178834516255E-5</v>
      </c>
      <c r="AM11" s="83">
        <v>1.8509580038738749E-3</v>
      </c>
      <c r="AN11" s="83">
        <v>6.8080363333985616</v>
      </c>
      <c r="AO11" s="147">
        <v>1689.1899558283326</v>
      </c>
      <c r="AP11" s="229">
        <v>5.8607965326518762E-10</v>
      </c>
      <c r="AQ11" s="152">
        <v>-5.211847465355833E-6</v>
      </c>
      <c r="AR11" s="152">
        <v>1.7249964274464444E-2</v>
      </c>
      <c r="AS11" s="152">
        <v>-25.017302520980799</v>
      </c>
      <c r="AT11" s="230">
        <v>13399.673690109019</v>
      </c>
      <c r="AU11" s="229">
        <v>5.8607965326518762E-10</v>
      </c>
      <c r="AV11" s="152">
        <v>-5.211847465355833E-6</v>
      </c>
      <c r="AW11" s="152">
        <v>1.7249964274464444E-2</v>
      </c>
      <c r="AX11" s="152">
        <v>-25.017302520980799</v>
      </c>
      <c r="AY11" s="230">
        <v>13399.673690109019</v>
      </c>
    </row>
    <row r="12" spans="1:51" s="86" customFormat="1" ht="16.5" thickBot="1" x14ac:dyDescent="0.3">
      <c r="A12" s="115" t="s">
        <v>159</v>
      </c>
      <c r="B12" s="89" t="s">
        <v>37</v>
      </c>
      <c r="C12" s="89" t="s">
        <v>104</v>
      </c>
      <c r="D12" s="89" t="s">
        <v>64</v>
      </c>
      <c r="E12" s="263" t="s">
        <v>105</v>
      </c>
      <c r="F12" s="89" t="s">
        <v>15</v>
      </c>
      <c r="G12" s="89" t="s">
        <v>15</v>
      </c>
      <c r="H12" s="119" t="str">
        <f>Master_Table[[#This Row],[LES-Type]]&amp;"-"&amp;Master_Table[[#This Row],[Nominal CCT+CRI]]&amp;Master_Table[[#This Row],[Tech]]</f>
        <v>Vesta-SE 6mm--A</v>
      </c>
      <c r="I12" s="119"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BXRV-DR---0600-A-13-SE</v>
      </c>
      <c r="J12" s="86">
        <v>14</v>
      </c>
      <c r="K12" s="86">
        <v>350</v>
      </c>
      <c r="L12" s="87">
        <v>420</v>
      </c>
      <c r="M12" s="85" t="s">
        <v>64</v>
      </c>
      <c r="N12" s="94" t="e">
        <f>Master_Table[[#This Row],[Typical Lumens]]/(Master_Table[[#This Row],[Typical Voltage]]*Master_Table[[#This Row],[Typical Current]]/1000)</f>
        <v>#VALUE!</v>
      </c>
      <c r="P12" s="87" t="s">
        <v>64</v>
      </c>
      <c r="Q12" s="170">
        <v>-8.376945271258572E-10</v>
      </c>
      <c r="R12" s="168">
        <v>8.9384798476104261E-7</v>
      </c>
      <c r="S12" s="168">
        <v>-3.4918548154403849E-4</v>
      </c>
      <c r="T12" s="168">
        <v>6.7662061532231255E-2</v>
      </c>
      <c r="U12" s="169">
        <v>10.340421103916475</v>
      </c>
      <c r="V12" s="208">
        <v>1.2811201598744215E-12</v>
      </c>
      <c r="W12" s="81">
        <v>-9.7037453488817621E-9</v>
      </c>
      <c r="X12" s="82">
        <v>7.6849081607460334E-6</v>
      </c>
      <c r="Y12" s="82">
        <v>1.2921222295407741E-3</v>
      </c>
      <c r="Z12" s="139">
        <v>3.1611823082840339E-3</v>
      </c>
      <c r="AA12" s="213">
        <v>0</v>
      </c>
      <c r="AB12" s="83">
        <v>-2.3576793399445561E-8</v>
      </c>
      <c r="AC12" s="84">
        <v>2.2657074525315222E-8</v>
      </c>
      <c r="AD12" s="84">
        <v>-1.0052927172015966E-3</v>
      </c>
      <c r="AE12" s="143">
        <v>1.0254865446553281</v>
      </c>
      <c r="AF12" s="213">
        <v>8.5542597156927221E-8</v>
      </c>
      <c r="AG12" s="83">
        <v>-6.0482178834516255E-5</v>
      </c>
      <c r="AH12" s="83">
        <v>1.8509580038738749E-3</v>
      </c>
      <c r="AI12" s="83">
        <v>6.8080363333985616</v>
      </c>
      <c r="AJ12" s="147">
        <v>1689.1899558283326</v>
      </c>
      <c r="AK12" s="213">
        <v>8.5542597156927221E-8</v>
      </c>
      <c r="AL12" s="83">
        <v>-6.0482178834516255E-5</v>
      </c>
      <c r="AM12" s="83">
        <v>1.8509580038738749E-3</v>
      </c>
      <c r="AN12" s="83">
        <v>6.8080363333985616</v>
      </c>
      <c r="AO12" s="147">
        <v>1689.1899558283326</v>
      </c>
      <c r="AP12" s="200">
        <v>5.8607965326518762E-10</v>
      </c>
      <c r="AQ12" s="152">
        <v>-5.211847465355833E-6</v>
      </c>
      <c r="AR12" s="152">
        <v>1.7249964274464444E-2</v>
      </c>
      <c r="AS12" s="152">
        <v>-25.017302520980799</v>
      </c>
      <c r="AT12" s="230">
        <v>13399.673690109019</v>
      </c>
      <c r="AU12" s="200">
        <v>5.8607965326518762E-10</v>
      </c>
      <c r="AV12" s="152">
        <v>-5.211847465355833E-6</v>
      </c>
      <c r="AW12" s="152">
        <v>1.7249964274464444E-2</v>
      </c>
      <c r="AX12" s="152">
        <v>-25.017302520980799</v>
      </c>
      <c r="AY12" s="230">
        <v>13399.673690109019</v>
      </c>
    </row>
    <row r="13" spans="1:51" s="86" customFormat="1" x14ac:dyDescent="0.25">
      <c r="A13" s="120" t="s">
        <v>48</v>
      </c>
      <c r="B13" s="124" t="s">
        <v>37</v>
      </c>
      <c r="C13" s="124" t="s">
        <v>104</v>
      </c>
      <c r="D13" s="124" t="s">
        <v>92</v>
      </c>
      <c r="E13" s="121">
        <v>1000</v>
      </c>
      <c r="F13" s="121" t="s">
        <v>97</v>
      </c>
      <c r="G13" s="121" t="s">
        <v>97</v>
      </c>
      <c r="H13" s="122" t="str">
        <f>Master_Table[[#This Row],[LES-Type]]&amp;"-"&amp;Master_Table[[#This Row],[Nominal CCT+CRI]]&amp;Master_Table[[#This Row],[Tech]]</f>
        <v>9mm-1827GG</v>
      </c>
      <c r="I13" s="122"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BXRV-DR-1827G-1000-G-13</v>
      </c>
      <c r="J13" s="122">
        <v>14</v>
      </c>
      <c r="K13" s="121">
        <v>250</v>
      </c>
      <c r="L13" s="121">
        <v>300</v>
      </c>
      <c r="M13" s="130">
        <v>438</v>
      </c>
      <c r="N13" s="131">
        <f>Master_Table[[#This Row],[Typical Lumens]]/(Master_Table[[#This Row],[Typical Voltage]]*Master_Table[[#This Row],[Typical Current]]/1000)</f>
        <v>103.05882352941177</v>
      </c>
      <c r="O13" s="121">
        <v>17</v>
      </c>
      <c r="P13" s="121">
        <v>-6.1</v>
      </c>
      <c r="Q13" s="208">
        <v>-3.0167959188950945E-9</v>
      </c>
      <c r="R13" s="206">
        <v>2.3342165607486289E-6</v>
      </c>
      <c r="S13" s="206">
        <v>-6.6635585775587348E-4</v>
      </c>
      <c r="T13" s="128">
        <v>9.5928073054976568E-2</v>
      </c>
      <c r="U13" s="151">
        <v>9.9774481424845956</v>
      </c>
      <c r="V13" s="209">
        <v>-1.5049654997828334E-12</v>
      </c>
      <c r="W13" s="137">
        <v>-2.2721906642875206E-8</v>
      </c>
      <c r="X13" s="136">
        <v>1.3244252285598832E-5</v>
      </c>
      <c r="Y13" s="136">
        <v>2.1344749988985432E-3</v>
      </c>
      <c r="Z13" s="124">
        <v>-4.5144071261465262E-4</v>
      </c>
      <c r="AA13" s="212">
        <v>0</v>
      </c>
      <c r="AB13" s="142">
        <v>-2.4074887656866403E-8</v>
      </c>
      <c r="AC13" s="136">
        <v>-5.8938036295637434E-8</v>
      </c>
      <c r="AD13" s="136">
        <v>-9.9306787123950571E-4</v>
      </c>
      <c r="AE13" s="135">
        <v>1.0252397031733109</v>
      </c>
      <c r="AF13" s="212">
        <v>0</v>
      </c>
      <c r="AG13" s="142">
        <v>3.1013999999999998E-5</v>
      </c>
      <c r="AH13" s="142">
        <v>-3.0558999999999999E-2</v>
      </c>
      <c r="AI13" s="142">
        <v>9.8179999999999996</v>
      </c>
      <c r="AJ13" s="146">
        <v>1669.3</v>
      </c>
      <c r="AK13" s="212">
        <v>0</v>
      </c>
      <c r="AL13" s="142">
        <v>0</v>
      </c>
      <c r="AM13" s="142">
        <v>5.3972999999999998E-4</v>
      </c>
      <c r="AN13" s="142">
        <v>0.59370000000000001</v>
      </c>
      <c r="AO13" s="146">
        <v>2517.8000000000002</v>
      </c>
      <c r="AP13" s="212">
        <v>0</v>
      </c>
      <c r="AQ13" s="142">
        <v>3.3589999999999998E-7</v>
      </c>
      <c r="AR13" s="142">
        <v>-2.0495000000000001E-3</v>
      </c>
      <c r="AS13" s="142">
        <v>4.2827000000000002</v>
      </c>
      <c r="AT13" s="146">
        <v>-3013.7</v>
      </c>
      <c r="AU13" s="212">
        <v>0</v>
      </c>
      <c r="AV13" s="142">
        <v>0</v>
      </c>
      <c r="AW13" s="142">
        <v>-8.3889999999999995E-4</v>
      </c>
      <c r="AX13" s="142">
        <v>5.6902999999999997</v>
      </c>
      <c r="AY13" s="146">
        <v>-8998.2999999999993</v>
      </c>
    </row>
    <row r="14" spans="1:51" s="86" customFormat="1" x14ac:dyDescent="0.25">
      <c r="A14" s="95" t="s">
        <v>48</v>
      </c>
      <c r="B14" s="86" t="s">
        <v>37</v>
      </c>
      <c r="C14" s="86" t="s">
        <v>104</v>
      </c>
      <c r="D14" s="86" t="s">
        <v>94</v>
      </c>
      <c r="E14" s="86">
        <v>1000</v>
      </c>
      <c r="F14" s="86" t="s">
        <v>97</v>
      </c>
      <c r="G14" s="86" t="s">
        <v>97</v>
      </c>
      <c r="H14" s="118" t="str">
        <f>Master_Table[[#This Row],[LES-Type]]&amp;"-"&amp;Master_Table[[#This Row],[Nominal CCT+CRI]]&amp;Master_Table[[#This Row],[Tech]]</f>
        <v>9mm-1827HG</v>
      </c>
      <c r="I14"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BXRV-DR-1827H-1000-G-13</v>
      </c>
      <c r="J14" s="118">
        <v>14</v>
      </c>
      <c r="K14" s="86">
        <v>250</v>
      </c>
      <c r="L14" s="86">
        <v>300</v>
      </c>
      <c r="M14" s="85">
        <v>353</v>
      </c>
      <c r="N14" s="94">
        <f>Master_Table[[#This Row],[Typical Lumens]]/(Master_Table[[#This Row],[Typical Voltage]]*Master_Table[[#This Row],[Typical Current]]/1000)</f>
        <v>83.058823529411768</v>
      </c>
      <c r="O14" s="86">
        <v>17</v>
      </c>
      <c r="P14" s="86">
        <v>-6.1</v>
      </c>
      <c r="Q14" s="211">
        <v>-3.0167959188950945E-9</v>
      </c>
      <c r="R14" s="205">
        <v>2.3342165607486289E-6</v>
      </c>
      <c r="S14" s="205">
        <v>-6.6635585775587348E-4</v>
      </c>
      <c r="T14" s="205">
        <v>9.5928073054976568E-2</v>
      </c>
      <c r="U14" s="207">
        <v>9.9774481424845956</v>
      </c>
      <c r="V14" s="208">
        <v>-1.5049654997828334E-12</v>
      </c>
      <c r="W14" s="81">
        <v>-2.2721906642875206E-8</v>
      </c>
      <c r="X14" s="82">
        <v>1.3244252285598832E-5</v>
      </c>
      <c r="Y14" s="82">
        <v>2.1344749988985432E-3</v>
      </c>
      <c r="Z14" s="82">
        <v>-4.5144071261465262E-4</v>
      </c>
      <c r="AA14" s="213">
        <v>0</v>
      </c>
      <c r="AB14" s="83">
        <v>-2.4074887656866403E-8</v>
      </c>
      <c r="AC14" s="84">
        <v>-5.8938036295637434E-8</v>
      </c>
      <c r="AD14" s="84">
        <v>-9.9306787123950571E-4</v>
      </c>
      <c r="AE14" s="84">
        <v>1.0252397031733109</v>
      </c>
      <c r="AF14" s="213">
        <v>0</v>
      </c>
      <c r="AG14" s="83">
        <v>3.1013999999999998E-5</v>
      </c>
      <c r="AH14" s="83">
        <v>-3.0558999999999999E-2</v>
      </c>
      <c r="AI14" s="83">
        <v>9.8179999999999996</v>
      </c>
      <c r="AJ14" s="147">
        <v>1669.3</v>
      </c>
      <c r="AK14" s="213">
        <v>0</v>
      </c>
      <c r="AL14" s="83">
        <v>0</v>
      </c>
      <c r="AM14" s="83">
        <v>5.3972999999999998E-4</v>
      </c>
      <c r="AN14" s="83">
        <v>0.59370000000000001</v>
      </c>
      <c r="AO14" s="147">
        <v>2517.8000000000002</v>
      </c>
      <c r="AP14" s="213">
        <v>0</v>
      </c>
      <c r="AQ14" s="83">
        <v>3.3589999999999998E-7</v>
      </c>
      <c r="AR14" s="83">
        <v>-2.0495000000000001E-3</v>
      </c>
      <c r="AS14" s="83">
        <v>4.2827000000000002</v>
      </c>
      <c r="AT14" s="147">
        <v>-3013.7</v>
      </c>
      <c r="AU14" s="213">
        <v>0</v>
      </c>
      <c r="AV14" s="83">
        <v>0</v>
      </c>
      <c r="AW14" s="83">
        <v>-8.3889999999999995E-4</v>
      </c>
      <c r="AX14" s="83">
        <v>5.6902999999999997</v>
      </c>
      <c r="AY14" s="147">
        <v>-8998.2999999999993</v>
      </c>
    </row>
    <row r="15" spans="1:51" s="86" customFormat="1" x14ac:dyDescent="0.25">
      <c r="A15" s="95" t="s">
        <v>48</v>
      </c>
      <c r="B15" s="86" t="s">
        <v>37</v>
      </c>
      <c r="C15" s="86" t="s">
        <v>104</v>
      </c>
      <c r="D15" s="86" t="s">
        <v>44</v>
      </c>
      <c r="E15" s="86">
        <v>1000</v>
      </c>
      <c r="F15" s="86" t="s">
        <v>97</v>
      </c>
      <c r="G15" s="86" t="s">
        <v>97</v>
      </c>
      <c r="H15" s="118" t="str">
        <f>Master_Table[[#This Row],[LES-Type]]&amp;"-"&amp;Master_Table[[#This Row],[Nominal CCT+CRI]]&amp;Master_Table[[#This Row],[Tech]]</f>
        <v>9mm-1830GG</v>
      </c>
      <c r="I15"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BXRV-DR-1830G-1000-G-13</v>
      </c>
      <c r="J15" s="118">
        <v>14</v>
      </c>
      <c r="K15" s="86">
        <v>250</v>
      </c>
      <c r="L15" s="86">
        <v>300</v>
      </c>
      <c r="M15" s="85">
        <v>489</v>
      </c>
      <c r="N15" s="94">
        <f>Master_Table[[#This Row],[Typical Lumens]]/(Master_Table[[#This Row],[Typical Voltage]]*Master_Table[[#This Row],[Typical Current]]/1000)</f>
        <v>115.05882352941177</v>
      </c>
      <c r="O15" s="86">
        <v>17</v>
      </c>
      <c r="P15" s="86">
        <v>-6.1</v>
      </c>
      <c r="Q15" s="211">
        <v>-3.0167959188950945E-9</v>
      </c>
      <c r="R15" s="205">
        <v>2.3342165607486289E-6</v>
      </c>
      <c r="S15" s="205">
        <v>-6.6635585775587348E-4</v>
      </c>
      <c r="T15" s="205">
        <v>9.5928073054976568E-2</v>
      </c>
      <c r="U15" s="207">
        <v>9.9774481424845956</v>
      </c>
      <c r="V15" s="208">
        <v>0</v>
      </c>
      <c r="W15" s="81">
        <v>-2.3757683477745685E-8</v>
      </c>
      <c r="X15" s="82">
        <v>1.3481448566985116E-5</v>
      </c>
      <c r="Y15" s="82">
        <v>2.114493075612827E-3</v>
      </c>
      <c r="Z15" s="82">
        <v>0</v>
      </c>
      <c r="AA15" s="213">
        <v>0</v>
      </c>
      <c r="AB15" s="83">
        <v>-2.4074887656866403E-8</v>
      </c>
      <c r="AC15" s="84">
        <v>-5.8938036295637434E-8</v>
      </c>
      <c r="AD15" s="84">
        <v>-9.9306787123950571E-4</v>
      </c>
      <c r="AE15" s="84">
        <v>1.0252397031733109</v>
      </c>
      <c r="AF15" s="213">
        <v>0</v>
      </c>
      <c r="AG15" s="83">
        <v>4.1352E-5</v>
      </c>
      <c r="AH15" s="83">
        <v>-4.0745999999999997E-2</v>
      </c>
      <c r="AI15" s="83">
        <v>13.090999999999999</v>
      </c>
      <c r="AJ15" s="147">
        <v>1625.7</v>
      </c>
      <c r="AK15" s="213">
        <v>0</v>
      </c>
      <c r="AL15" s="83">
        <v>0</v>
      </c>
      <c r="AM15" s="83">
        <v>7.1964000000000001E-4</v>
      </c>
      <c r="AN15" s="83">
        <v>0.79159999999999997</v>
      </c>
      <c r="AO15" s="147">
        <v>2757.1</v>
      </c>
      <c r="AP15" s="229">
        <v>0</v>
      </c>
      <c r="AQ15" s="152">
        <v>1.4170999999999999E-7</v>
      </c>
      <c r="AR15" s="152">
        <v>-8.9776999999999999E-4</v>
      </c>
      <c r="AS15" s="152">
        <v>1.9816</v>
      </c>
      <c r="AT15" s="230">
        <v>-1470.9</v>
      </c>
      <c r="AU15" s="252">
        <v>0</v>
      </c>
      <c r="AV15" s="250">
        <v>0</v>
      </c>
      <c r="AW15" s="250">
        <v>-4.7187999999999999E-4</v>
      </c>
      <c r="AX15" s="250">
        <v>3.7014999999999998</v>
      </c>
      <c r="AY15" s="240">
        <v>-6607.5</v>
      </c>
    </row>
    <row r="16" spans="1:51" s="86" customFormat="1" ht="16.5" thickBot="1" x14ac:dyDescent="0.3">
      <c r="A16" s="115" t="s">
        <v>48</v>
      </c>
      <c r="B16" s="89" t="s">
        <v>37</v>
      </c>
      <c r="C16" s="89" t="s">
        <v>104</v>
      </c>
      <c r="D16" s="89" t="s">
        <v>96</v>
      </c>
      <c r="E16" s="89">
        <v>1000</v>
      </c>
      <c r="F16" s="89" t="s">
        <v>97</v>
      </c>
      <c r="G16" s="89" t="s">
        <v>97</v>
      </c>
      <c r="H16" s="119" t="str">
        <f>Master_Table[[#This Row],[LES-Type]]&amp;"-"&amp;Master_Table[[#This Row],[Nominal CCT+CRI]]&amp;Master_Table[[#This Row],[Tech]]</f>
        <v>9mm-1830HG</v>
      </c>
      <c r="I16" s="119"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BXRV-DR-1830H-1000-G-13</v>
      </c>
      <c r="J16" s="119">
        <v>14</v>
      </c>
      <c r="K16" s="89">
        <v>250</v>
      </c>
      <c r="L16" s="89">
        <v>300</v>
      </c>
      <c r="M16" s="85">
        <v>421</v>
      </c>
      <c r="N16" s="94">
        <f>Master_Table[[#This Row],[Typical Lumens]]/(Master_Table[[#This Row],[Typical Voltage]]*Master_Table[[#This Row],[Typical Current]]/1000)</f>
        <v>99.058823529411768</v>
      </c>
      <c r="O16" s="86">
        <v>17</v>
      </c>
      <c r="P16" s="86">
        <v>-6.1</v>
      </c>
      <c r="Q16" s="170">
        <v>-3.0167959188950945E-9</v>
      </c>
      <c r="R16" s="168">
        <v>2.3342165607486289E-6</v>
      </c>
      <c r="S16" s="168">
        <v>-6.6635585775587348E-4</v>
      </c>
      <c r="T16" s="168">
        <v>9.5928073054976568E-2</v>
      </c>
      <c r="U16" s="169">
        <v>9.9774481424845956</v>
      </c>
      <c r="V16" s="208">
        <v>0</v>
      </c>
      <c r="W16" s="81">
        <v>-2.3757683477745685E-8</v>
      </c>
      <c r="X16" s="82">
        <v>1.3481448566985116E-5</v>
      </c>
      <c r="Y16" s="82">
        <v>2.114493075612827E-3</v>
      </c>
      <c r="Z16" s="82">
        <v>0</v>
      </c>
      <c r="AA16" s="213">
        <v>0</v>
      </c>
      <c r="AB16" s="83">
        <v>-2.4074887656866403E-8</v>
      </c>
      <c r="AC16" s="84">
        <v>-5.8938036295637434E-8</v>
      </c>
      <c r="AD16" s="84">
        <v>-9.9306787123950571E-4</v>
      </c>
      <c r="AE16" s="84">
        <v>1.0252397031733109</v>
      </c>
      <c r="AF16" s="213">
        <v>0</v>
      </c>
      <c r="AG16" s="83">
        <v>4.1352E-5</v>
      </c>
      <c r="AH16" s="83">
        <v>-4.0745999999999997E-2</v>
      </c>
      <c r="AI16" s="83">
        <v>13.090999999999999</v>
      </c>
      <c r="AJ16" s="147">
        <v>1625.7</v>
      </c>
      <c r="AK16" s="214">
        <v>0</v>
      </c>
      <c r="AL16" s="144">
        <v>0</v>
      </c>
      <c r="AM16" s="144">
        <v>7.1964000000000001E-4</v>
      </c>
      <c r="AN16" s="144">
        <v>0.79159999999999997</v>
      </c>
      <c r="AO16" s="148">
        <v>2757.1</v>
      </c>
      <c r="AP16" s="234">
        <v>0</v>
      </c>
      <c r="AQ16" s="235">
        <v>1.4170999999999999E-7</v>
      </c>
      <c r="AR16" s="235">
        <v>-8.9776999999999999E-4</v>
      </c>
      <c r="AS16" s="235">
        <v>1.9816</v>
      </c>
      <c r="AT16" s="236">
        <v>-1470.9</v>
      </c>
      <c r="AU16" s="88">
        <v>0</v>
      </c>
      <c r="AV16" s="89">
        <v>0</v>
      </c>
      <c r="AW16" s="89">
        <v>-4.7187999999999999E-4</v>
      </c>
      <c r="AX16" s="89">
        <v>3.7014999999999998</v>
      </c>
      <c r="AY16" s="90">
        <v>-6607.5</v>
      </c>
    </row>
    <row r="17" spans="1:51" s="86" customFormat="1" x14ac:dyDescent="0.25">
      <c r="A17" s="120" t="s">
        <v>160</v>
      </c>
      <c r="B17" s="124" t="s">
        <v>37</v>
      </c>
      <c r="C17" s="124" t="s">
        <v>104</v>
      </c>
      <c r="D17" s="124" t="s">
        <v>92</v>
      </c>
      <c r="E17" s="121">
        <v>1000</v>
      </c>
      <c r="F17" s="121" t="s">
        <v>97</v>
      </c>
      <c r="G17" s="121" t="s">
        <v>97</v>
      </c>
      <c r="H17" s="122" t="str">
        <f>Master_Table[[#This Row],[LES-Type]]&amp;"-"&amp;Master_Table[[#This Row],[Nominal CCT+CRI]]&amp;Master_Table[[#This Row],[Tech]]</f>
        <v>Vesta-SE 9mm-1827GG</v>
      </c>
      <c r="I17" s="122"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BXRV-DR-1827G-1000-G-13-SE</v>
      </c>
      <c r="J17" s="122">
        <v>14</v>
      </c>
      <c r="K17" s="121">
        <v>250</v>
      </c>
      <c r="L17" s="121">
        <v>300</v>
      </c>
      <c r="M17" s="272">
        <f>M13*0.95</f>
        <v>416.09999999999997</v>
      </c>
      <c r="N17" s="131">
        <f>Master_Table[[#This Row],[Typical Lumens]]/(Master_Table[[#This Row],[Typical Voltage]]*Master_Table[[#This Row],[Typical Current]]/1000)</f>
        <v>97.905882352941163</v>
      </c>
      <c r="O17" s="121">
        <v>17</v>
      </c>
      <c r="P17" s="121">
        <v>-6.1</v>
      </c>
      <c r="Q17" s="208">
        <v>-3.0167959188950945E-9</v>
      </c>
      <c r="R17" s="206">
        <v>2.3342165607486289E-6</v>
      </c>
      <c r="S17" s="206">
        <v>-6.6635585775587348E-4</v>
      </c>
      <c r="T17" s="128">
        <v>9.5928073054976568E-2</v>
      </c>
      <c r="U17" s="151">
        <v>9.9774481424845956</v>
      </c>
      <c r="V17" s="209">
        <v>-1.5049654997828334E-12</v>
      </c>
      <c r="W17" s="137">
        <v>-2.2721906642875206E-8</v>
      </c>
      <c r="X17" s="136">
        <v>1.3244252285598832E-5</v>
      </c>
      <c r="Y17" s="136">
        <v>2.1344749988985432E-3</v>
      </c>
      <c r="Z17" s="124">
        <v>-4.5144071261465262E-4</v>
      </c>
      <c r="AA17" s="212">
        <v>0</v>
      </c>
      <c r="AB17" s="142">
        <v>-2.4074887656866403E-8</v>
      </c>
      <c r="AC17" s="136">
        <v>-5.8938036295637434E-8</v>
      </c>
      <c r="AD17" s="136">
        <v>-9.9306787123950571E-4</v>
      </c>
      <c r="AE17" s="135">
        <v>1.0252397031733109</v>
      </c>
      <c r="AF17" s="212">
        <v>0</v>
      </c>
      <c r="AG17" s="142">
        <v>3.1013999999999998E-5</v>
      </c>
      <c r="AH17" s="142">
        <v>-3.0558999999999999E-2</v>
      </c>
      <c r="AI17" s="142">
        <v>9.8179999999999996</v>
      </c>
      <c r="AJ17" s="146">
        <v>1669.3</v>
      </c>
      <c r="AK17" s="212">
        <v>0</v>
      </c>
      <c r="AL17" s="142">
        <v>0</v>
      </c>
      <c r="AM17" s="142">
        <v>5.3972999999999998E-4</v>
      </c>
      <c r="AN17" s="142">
        <v>0.59370000000000001</v>
      </c>
      <c r="AO17" s="146">
        <v>2517.8000000000002</v>
      </c>
      <c r="AP17" s="212">
        <v>0</v>
      </c>
      <c r="AQ17" s="142">
        <v>3.3589999999999998E-7</v>
      </c>
      <c r="AR17" s="142">
        <v>-2.0495000000000001E-3</v>
      </c>
      <c r="AS17" s="142">
        <v>4.2827000000000002</v>
      </c>
      <c r="AT17" s="146">
        <v>-3013.7</v>
      </c>
      <c r="AU17" s="212">
        <v>0</v>
      </c>
      <c r="AV17" s="142">
        <v>0</v>
      </c>
      <c r="AW17" s="142">
        <v>-8.3889999999999995E-4</v>
      </c>
      <c r="AX17" s="142">
        <v>5.6902999999999997</v>
      </c>
      <c r="AY17" s="146">
        <v>-8998.2999999999993</v>
      </c>
    </row>
    <row r="18" spans="1:51" s="86" customFormat="1" x14ac:dyDescent="0.25">
      <c r="A18" s="95" t="s">
        <v>160</v>
      </c>
      <c r="B18" s="86" t="s">
        <v>37</v>
      </c>
      <c r="C18" s="86" t="s">
        <v>104</v>
      </c>
      <c r="D18" s="86" t="s">
        <v>94</v>
      </c>
      <c r="E18" s="86">
        <v>1000</v>
      </c>
      <c r="F18" s="86" t="s">
        <v>97</v>
      </c>
      <c r="G18" s="86" t="s">
        <v>97</v>
      </c>
      <c r="H18" s="118" t="str">
        <f>Master_Table[[#This Row],[LES-Type]]&amp;"-"&amp;Master_Table[[#This Row],[Nominal CCT+CRI]]&amp;Master_Table[[#This Row],[Tech]]</f>
        <v>Vesta-SE 9mm-1827HG</v>
      </c>
      <c r="I18"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BXRV-DR-1827H-1000-G-13-SE</v>
      </c>
      <c r="J18" s="118">
        <v>14</v>
      </c>
      <c r="K18" s="86">
        <v>250</v>
      </c>
      <c r="L18" s="86">
        <v>300</v>
      </c>
      <c r="M18" s="85">
        <f>M14*0.95</f>
        <v>335.34999999999997</v>
      </c>
      <c r="N18" s="94">
        <f>Master_Table[[#This Row],[Typical Lumens]]/(Master_Table[[#This Row],[Typical Voltage]]*Master_Table[[#This Row],[Typical Current]]/1000)</f>
        <v>78.905882352941163</v>
      </c>
      <c r="O18" s="86">
        <v>17</v>
      </c>
      <c r="P18" s="86">
        <v>-6.1</v>
      </c>
      <c r="Q18" s="211">
        <v>-3.0167959188950945E-9</v>
      </c>
      <c r="R18" s="205">
        <v>2.3342165607486289E-6</v>
      </c>
      <c r="S18" s="205">
        <v>-6.6635585775587348E-4</v>
      </c>
      <c r="T18" s="205">
        <v>9.5928073054976568E-2</v>
      </c>
      <c r="U18" s="207">
        <v>9.9774481424845956</v>
      </c>
      <c r="V18" s="208">
        <v>-1.5049654997828334E-12</v>
      </c>
      <c r="W18" s="81">
        <v>-2.2721906642875206E-8</v>
      </c>
      <c r="X18" s="82">
        <v>1.3244252285598832E-5</v>
      </c>
      <c r="Y18" s="82">
        <v>2.1344749988985432E-3</v>
      </c>
      <c r="Z18" s="82">
        <v>-4.5144071261465262E-4</v>
      </c>
      <c r="AA18" s="213">
        <v>0</v>
      </c>
      <c r="AB18" s="83">
        <v>-2.4074887656866403E-8</v>
      </c>
      <c r="AC18" s="84">
        <v>-5.8938036295637434E-8</v>
      </c>
      <c r="AD18" s="84">
        <v>-9.9306787123950571E-4</v>
      </c>
      <c r="AE18" s="84">
        <v>1.0252397031733109</v>
      </c>
      <c r="AF18" s="213">
        <v>0</v>
      </c>
      <c r="AG18" s="83">
        <v>3.1013999999999998E-5</v>
      </c>
      <c r="AH18" s="83">
        <v>-3.0558999999999999E-2</v>
      </c>
      <c r="AI18" s="83">
        <v>9.8179999999999996</v>
      </c>
      <c r="AJ18" s="147">
        <v>1669.3</v>
      </c>
      <c r="AK18" s="213">
        <v>0</v>
      </c>
      <c r="AL18" s="83">
        <v>0</v>
      </c>
      <c r="AM18" s="83">
        <v>5.3972999999999998E-4</v>
      </c>
      <c r="AN18" s="83">
        <v>0.59370000000000001</v>
      </c>
      <c r="AO18" s="147">
        <v>2517.8000000000002</v>
      </c>
      <c r="AP18" s="213">
        <v>0</v>
      </c>
      <c r="AQ18" s="83">
        <v>3.3589999999999998E-7</v>
      </c>
      <c r="AR18" s="83">
        <v>-2.0495000000000001E-3</v>
      </c>
      <c r="AS18" s="83">
        <v>4.2827000000000002</v>
      </c>
      <c r="AT18" s="147">
        <v>-3013.7</v>
      </c>
      <c r="AU18" s="213">
        <v>0</v>
      </c>
      <c r="AV18" s="83">
        <v>0</v>
      </c>
      <c r="AW18" s="83">
        <v>-8.3889999999999995E-4</v>
      </c>
      <c r="AX18" s="83">
        <v>5.6902999999999997</v>
      </c>
      <c r="AY18" s="147">
        <v>-8998.2999999999993</v>
      </c>
    </row>
    <row r="19" spans="1:51" s="86" customFormat="1" x14ac:dyDescent="0.25">
      <c r="A19" s="95" t="s">
        <v>160</v>
      </c>
      <c r="B19" s="86" t="s">
        <v>37</v>
      </c>
      <c r="C19" s="86" t="s">
        <v>104</v>
      </c>
      <c r="D19" s="86" t="s">
        <v>44</v>
      </c>
      <c r="E19" s="86">
        <v>1000</v>
      </c>
      <c r="F19" s="86" t="s">
        <v>97</v>
      </c>
      <c r="G19" s="86" t="s">
        <v>97</v>
      </c>
      <c r="H19" s="118" t="str">
        <f>Master_Table[[#This Row],[LES-Type]]&amp;"-"&amp;Master_Table[[#This Row],[Nominal CCT+CRI]]&amp;Master_Table[[#This Row],[Tech]]</f>
        <v>Vesta-SE 9mm-1830GG</v>
      </c>
      <c r="I19"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BXRV-DR-1830G-1000-G-13-SE</v>
      </c>
      <c r="J19" s="118">
        <v>14</v>
      </c>
      <c r="K19" s="86">
        <v>250</v>
      </c>
      <c r="L19" s="86">
        <v>300</v>
      </c>
      <c r="M19" s="85">
        <f>M15*0.95</f>
        <v>464.54999999999995</v>
      </c>
      <c r="N19" s="94">
        <f>Master_Table[[#This Row],[Typical Lumens]]/(Master_Table[[#This Row],[Typical Voltage]]*Master_Table[[#This Row],[Typical Current]]/1000)</f>
        <v>109.30588235294117</v>
      </c>
      <c r="O19" s="86">
        <v>17</v>
      </c>
      <c r="P19" s="86">
        <v>-6.1</v>
      </c>
      <c r="Q19" s="211">
        <v>-3.0167959188950945E-9</v>
      </c>
      <c r="R19" s="205">
        <v>2.3342165607486289E-6</v>
      </c>
      <c r="S19" s="205">
        <v>-6.6635585775587348E-4</v>
      </c>
      <c r="T19" s="205">
        <v>9.5928073054976568E-2</v>
      </c>
      <c r="U19" s="207">
        <v>9.9774481424845956</v>
      </c>
      <c r="V19" s="208">
        <v>0</v>
      </c>
      <c r="W19" s="81">
        <v>-2.3757683477745685E-8</v>
      </c>
      <c r="X19" s="82">
        <v>1.3481448566985116E-5</v>
      </c>
      <c r="Y19" s="82">
        <v>2.114493075612827E-3</v>
      </c>
      <c r="Z19" s="82">
        <v>0</v>
      </c>
      <c r="AA19" s="213">
        <v>0</v>
      </c>
      <c r="AB19" s="83">
        <v>-2.4074887656866403E-8</v>
      </c>
      <c r="AC19" s="84">
        <v>-5.8938036295637434E-8</v>
      </c>
      <c r="AD19" s="84">
        <v>-9.9306787123950571E-4</v>
      </c>
      <c r="AE19" s="84">
        <v>1.0252397031733109</v>
      </c>
      <c r="AF19" s="213">
        <v>0</v>
      </c>
      <c r="AG19" s="83">
        <v>4.1352E-5</v>
      </c>
      <c r="AH19" s="83">
        <v>-4.0745999999999997E-2</v>
      </c>
      <c r="AI19" s="83">
        <v>13.090999999999999</v>
      </c>
      <c r="AJ19" s="147">
        <v>1625.7</v>
      </c>
      <c r="AK19" s="213">
        <v>0</v>
      </c>
      <c r="AL19" s="83">
        <v>0</v>
      </c>
      <c r="AM19" s="83">
        <v>7.1964000000000001E-4</v>
      </c>
      <c r="AN19" s="83">
        <v>0.79159999999999997</v>
      </c>
      <c r="AO19" s="147">
        <v>2757.1</v>
      </c>
      <c r="AP19" s="229">
        <v>0</v>
      </c>
      <c r="AQ19" s="152">
        <v>1.4170999999999999E-7</v>
      </c>
      <c r="AR19" s="152">
        <v>-8.9776999999999999E-4</v>
      </c>
      <c r="AS19" s="152">
        <v>1.9816</v>
      </c>
      <c r="AT19" s="230">
        <v>-1470.9</v>
      </c>
      <c r="AU19" s="252">
        <v>0</v>
      </c>
      <c r="AV19" s="250">
        <v>0</v>
      </c>
      <c r="AW19" s="250">
        <v>-4.7187999999999999E-4</v>
      </c>
      <c r="AX19" s="250">
        <v>3.7014999999999998</v>
      </c>
      <c r="AY19" s="240">
        <v>-6607.5</v>
      </c>
    </row>
    <row r="20" spans="1:51" s="86" customFormat="1" ht="16.5" thickBot="1" x14ac:dyDescent="0.3">
      <c r="A20" s="115" t="s">
        <v>160</v>
      </c>
      <c r="B20" s="89" t="s">
        <v>37</v>
      </c>
      <c r="C20" s="89" t="s">
        <v>104</v>
      </c>
      <c r="D20" s="89" t="s">
        <v>96</v>
      </c>
      <c r="E20" s="89">
        <v>1000</v>
      </c>
      <c r="F20" s="89" t="s">
        <v>97</v>
      </c>
      <c r="G20" s="89" t="s">
        <v>97</v>
      </c>
      <c r="H20" s="119" t="str">
        <f>Master_Table[[#This Row],[LES-Type]]&amp;"-"&amp;Master_Table[[#This Row],[Nominal CCT+CRI]]&amp;Master_Table[[#This Row],[Tech]]</f>
        <v>Vesta-SE 9mm-1830HG</v>
      </c>
      <c r="I20" s="119"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BXRV-DR-1830H-1000-G-13-SE</v>
      </c>
      <c r="J20" s="119">
        <v>14</v>
      </c>
      <c r="K20" s="89">
        <v>250</v>
      </c>
      <c r="L20" s="89">
        <v>300</v>
      </c>
      <c r="M20" s="85">
        <f>M16*0.95</f>
        <v>399.95</v>
      </c>
      <c r="N20" s="94">
        <f>Master_Table[[#This Row],[Typical Lumens]]/(Master_Table[[#This Row],[Typical Voltage]]*Master_Table[[#This Row],[Typical Current]]/1000)</f>
        <v>94.10588235294118</v>
      </c>
      <c r="O20" s="86">
        <v>17</v>
      </c>
      <c r="P20" s="86">
        <v>-6.1</v>
      </c>
      <c r="Q20" s="170">
        <v>-3.0167959188950945E-9</v>
      </c>
      <c r="R20" s="168">
        <v>2.3342165607486289E-6</v>
      </c>
      <c r="S20" s="168">
        <v>-6.6635585775587348E-4</v>
      </c>
      <c r="T20" s="168">
        <v>9.5928073054976568E-2</v>
      </c>
      <c r="U20" s="169">
        <v>9.9774481424845956</v>
      </c>
      <c r="V20" s="208">
        <v>0</v>
      </c>
      <c r="W20" s="81">
        <v>-2.3757683477745685E-8</v>
      </c>
      <c r="X20" s="82">
        <v>1.3481448566985116E-5</v>
      </c>
      <c r="Y20" s="82">
        <v>2.114493075612827E-3</v>
      </c>
      <c r="Z20" s="82">
        <v>0</v>
      </c>
      <c r="AA20" s="213">
        <v>0</v>
      </c>
      <c r="AB20" s="83">
        <v>-2.4074887656866403E-8</v>
      </c>
      <c r="AC20" s="84">
        <v>-5.8938036295637434E-8</v>
      </c>
      <c r="AD20" s="84">
        <v>-9.9306787123950571E-4</v>
      </c>
      <c r="AE20" s="84">
        <v>1.0252397031733109</v>
      </c>
      <c r="AF20" s="213">
        <v>0</v>
      </c>
      <c r="AG20" s="83">
        <v>4.1352E-5</v>
      </c>
      <c r="AH20" s="83">
        <v>-4.0745999999999997E-2</v>
      </c>
      <c r="AI20" s="83">
        <v>13.090999999999999</v>
      </c>
      <c r="AJ20" s="147">
        <v>1625.7</v>
      </c>
      <c r="AK20" s="214">
        <v>0</v>
      </c>
      <c r="AL20" s="144">
        <v>0</v>
      </c>
      <c r="AM20" s="144">
        <v>7.1964000000000001E-4</v>
      </c>
      <c r="AN20" s="144">
        <v>0.79159999999999997</v>
      </c>
      <c r="AO20" s="148">
        <v>2757.1</v>
      </c>
      <c r="AP20" s="234">
        <v>0</v>
      </c>
      <c r="AQ20" s="235">
        <v>1.4170999999999999E-7</v>
      </c>
      <c r="AR20" s="235">
        <v>-8.9776999999999999E-4</v>
      </c>
      <c r="AS20" s="235">
        <v>1.9816</v>
      </c>
      <c r="AT20" s="236">
        <v>-1470.9</v>
      </c>
      <c r="AU20" s="88">
        <v>0</v>
      </c>
      <c r="AV20" s="89">
        <v>0</v>
      </c>
      <c r="AW20" s="89">
        <v>-4.7187999999999999E-4</v>
      </c>
      <c r="AX20" s="89">
        <v>3.7014999999999998</v>
      </c>
      <c r="AY20" s="90">
        <v>-6607.5</v>
      </c>
    </row>
    <row r="21" spans="1:51" s="86" customFormat="1" x14ac:dyDescent="0.25">
      <c r="A21" s="120" t="s">
        <v>48</v>
      </c>
      <c r="B21" s="121" t="s">
        <v>37</v>
      </c>
      <c r="C21" s="124" t="s">
        <v>104</v>
      </c>
      <c r="D21" s="124" t="s">
        <v>92</v>
      </c>
      <c r="E21" s="121">
        <v>1000</v>
      </c>
      <c r="F21" s="121" t="s">
        <v>15</v>
      </c>
      <c r="G21" s="121" t="s">
        <v>15</v>
      </c>
      <c r="H21" s="122" t="str">
        <f>Master_Table[[#This Row],[LES-Type]]&amp;"-"&amp;Master_Table[[#This Row],[Nominal CCT+CRI]]&amp;Master_Table[[#This Row],[Tech]]</f>
        <v>9mm-1827GA</v>
      </c>
      <c r="I21" s="122"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BXRV-DR-1827G-1000-A-13</v>
      </c>
      <c r="J21" s="122">
        <v>14</v>
      </c>
      <c r="K21" s="121">
        <v>350</v>
      </c>
      <c r="L21" s="121">
        <v>420</v>
      </c>
      <c r="M21" s="130">
        <v>613</v>
      </c>
      <c r="N21" s="131">
        <f>Master_Table[[#This Row],[Typical Lumens]]/(Master_Table[[#This Row],[Typical Voltage]]*Master_Table[[#This Row],[Typical Current]]/1000)</f>
        <v>103.02521008403362</v>
      </c>
      <c r="O21" s="121">
        <v>17</v>
      </c>
      <c r="P21" s="121">
        <v>-6.1</v>
      </c>
      <c r="Q21" s="208">
        <v>-8.376945271258572E-10</v>
      </c>
      <c r="R21" s="206">
        <v>8.9384798476104261E-7</v>
      </c>
      <c r="S21" s="206">
        <v>-3.4918548154403849E-4</v>
      </c>
      <c r="T21" s="128">
        <v>6.7662061532231255E-2</v>
      </c>
      <c r="U21" s="151">
        <v>10.340421103916475</v>
      </c>
      <c r="V21" s="209">
        <v>2.0563232639415106E-12</v>
      </c>
      <c r="W21" s="137">
        <v>-1.1547329885441754E-8</v>
      </c>
      <c r="X21" s="136">
        <v>8.1130316176974384E-6</v>
      </c>
      <c r="Y21" s="136">
        <v>1.3363941338751929E-3</v>
      </c>
      <c r="Z21" s="124">
        <v>2.5720255218239819E-3</v>
      </c>
      <c r="AA21" s="212">
        <v>0</v>
      </c>
      <c r="AB21" s="142">
        <v>-2.4074887656866403E-8</v>
      </c>
      <c r="AC21" s="136">
        <v>-5.8938036295637434E-8</v>
      </c>
      <c r="AD21" s="136">
        <v>-9.9306787123950571E-4</v>
      </c>
      <c r="AE21" s="135">
        <v>1.0252397031733109</v>
      </c>
      <c r="AF21" s="212">
        <v>6.4156947867695485E-8</v>
      </c>
      <c r="AG21" s="142">
        <v>-4.5361634125887272E-5</v>
      </c>
      <c r="AH21" s="142">
        <v>1.3882185029054264E-3</v>
      </c>
      <c r="AI21" s="142">
        <v>5.1060272500489212</v>
      </c>
      <c r="AJ21" s="146">
        <v>1716.8924668712493</v>
      </c>
      <c r="AK21" s="212">
        <v>6.4156947867695485E-8</v>
      </c>
      <c r="AL21" s="142">
        <v>-4.5361634125887272E-5</v>
      </c>
      <c r="AM21" s="142">
        <v>1.3882185029054264E-3</v>
      </c>
      <c r="AN21" s="142">
        <v>5.1060272500489212</v>
      </c>
      <c r="AO21" s="146">
        <v>1716.8924668712493</v>
      </c>
      <c r="AP21" s="237">
        <v>1.8089828595020265E-9</v>
      </c>
      <c r="AQ21" s="238">
        <v>-1.5300963254309649E-5</v>
      </c>
      <c r="AR21" s="238">
        <v>4.8307059621455581E-2</v>
      </c>
      <c r="AS21" s="238">
        <v>-67.24666748668308</v>
      </c>
      <c r="AT21" s="239">
        <v>34789.640964675062</v>
      </c>
      <c r="AU21" s="237">
        <v>1.8089828595020265E-9</v>
      </c>
      <c r="AV21" s="238">
        <v>-1.5300963254309649E-5</v>
      </c>
      <c r="AW21" s="238">
        <v>4.8307059621455581E-2</v>
      </c>
      <c r="AX21" s="238">
        <v>-67.24666748668308</v>
      </c>
      <c r="AY21" s="239">
        <v>34789.640964675062</v>
      </c>
    </row>
    <row r="22" spans="1:51" s="86" customFormat="1" x14ac:dyDescent="0.25">
      <c r="A22" s="95" t="s">
        <v>48</v>
      </c>
      <c r="B22" s="86" t="s">
        <v>37</v>
      </c>
      <c r="C22" s="86" t="s">
        <v>104</v>
      </c>
      <c r="D22" s="86" t="s">
        <v>94</v>
      </c>
      <c r="E22" s="86">
        <v>1000</v>
      </c>
      <c r="F22" s="86" t="s">
        <v>15</v>
      </c>
      <c r="G22" s="86" t="s">
        <v>15</v>
      </c>
      <c r="H22" s="118" t="str">
        <f>Master_Table[[#This Row],[LES-Type]]&amp;"-"&amp;Master_Table[[#This Row],[Nominal CCT+CRI]]&amp;Master_Table[[#This Row],[Tech]]</f>
        <v>9mm-1827HA</v>
      </c>
      <c r="I22"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BXRV-DR-1827H-1000-A-13</v>
      </c>
      <c r="J22" s="118">
        <v>14</v>
      </c>
      <c r="K22" s="86">
        <v>350</v>
      </c>
      <c r="L22" s="86">
        <v>420</v>
      </c>
      <c r="M22" s="85">
        <v>494</v>
      </c>
      <c r="N22" s="94">
        <f>Master_Table[[#This Row],[Typical Lumens]]/(Master_Table[[#This Row],[Typical Voltage]]*Master_Table[[#This Row],[Typical Current]]/1000)</f>
        <v>83.025210084033617</v>
      </c>
      <c r="O22" s="86">
        <v>17</v>
      </c>
      <c r="P22" s="86">
        <v>-6.1</v>
      </c>
      <c r="Q22" s="211">
        <v>-8.376945271258572E-10</v>
      </c>
      <c r="R22" s="205">
        <v>8.9384798476104261E-7</v>
      </c>
      <c r="S22" s="205">
        <v>-3.4918548154403849E-4</v>
      </c>
      <c r="T22" s="205">
        <v>6.7662061532231255E-2</v>
      </c>
      <c r="U22" s="207">
        <v>10.340421103916475</v>
      </c>
      <c r="V22" s="208">
        <v>2.0563232639415106E-12</v>
      </c>
      <c r="W22" s="81">
        <v>-1.1547329885441754E-8</v>
      </c>
      <c r="X22" s="82">
        <v>8.1130316176974384E-6</v>
      </c>
      <c r="Y22" s="82">
        <v>1.3363941338751929E-3</v>
      </c>
      <c r="Z22" s="82">
        <v>2.5720255218239819E-3</v>
      </c>
      <c r="AA22" s="213">
        <v>0</v>
      </c>
      <c r="AB22" s="83">
        <v>-2.4074887656866403E-8</v>
      </c>
      <c r="AC22" s="84">
        <v>-5.8938036295637434E-8</v>
      </c>
      <c r="AD22" s="84">
        <v>-9.9306787123950571E-4</v>
      </c>
      <c r="AE22" s="84">
        <v>1.0252397031733109</v>
      </c>
      <c r="AF22" s="213">
        <v>6.4156947867695485E-8</v>
      </c>
      <c r="AG22" s="83">
        <v>-4.5361634125887272E-5</v>
      </c>
      <c r="AH22" s="83">
        <v>1.3882185029054264E-3</v>
      </c>
      <c r="AI22" s="83">
        <v>5.1060272500489212</v>
      </c>
      <c r="AJ22" s="147">
        <v>1716.8924668712493</v>
      </c>
      <c r="AK22" s="213">
        <v>6.4156947867695485E-8</v>
      </c>
      <c r="AL22" s="83">
        <v>-4.5361634125887272E-5</v>
      </c>
      <c r="AM22" s="83">
        <v>1.3882185029054264E-3</v>
      </c>
      <c r="AN22" s="83">
        <v>5.1060272500489212</v>
      </c>
      <c r="AO22" s="147">
        <v>1716.8924668712493</v>
      </c>
      <c r="AP22" s="200">
        <v>1.8089828595020265E-9</v>
      </c>
      <c r="AQ22" s="129">
        <v>-1.5300963254309649E-5</v>
      </c>
      <c r="AR22" s="129">
        <v>4.8307059621455581E-2</v>
      </c>
      <c r="AS22" s="129">
        <v>-67.24666748668308</v>
      </c>
      <c r="AT22" s="201">
        <v>34789.640964675062</v>
      </c>
      <c r="AU22" s="200">
        <v>1.8089828595020265E-9</v>
      </c>
      <c r="AV22" s="129">
        <v>-1.5300963254309649E-5</v>
      </c>
      <c r="AW22" s="129">
        <v>4.8307059621455581E-2</v>
      </c>
      <c r="AX22" s="129">
        <v>-67.24666748668308</v>
      </c>
      <c r="AY22" s="201">
        <v>34789.640964675062</v>
      </c>
    </row>
    <row r="23" spans="1:51" s="86" customFormat="1" x14ac:dyDescent="0.25">
      <c r="A23" s="95" t="s">
        <v>48</v>
      </c>
      <c r="B23" s="86" t="s">
        <v>37</v>
      </c>
      <c r="C23" s="86" t="s">
        <v>104</v>
      </c>
      <c r="D23" s="86" t="s">
        <v>44</v>
      </c>
      <c r="E23" s="86">
        <v>1000</v>
      </c>
      <c r="F23" s="86" t="s">
        <v>15</v>
      </c>
      <c r="G23" s="86" t="s">
        <v>15</v>
      </c>
      <c r="H23" s="118" t="str">
        <f>Master_Table[[#This Row],[LES-Type]]&amp;"-"&amp;Master_Table[[#This Row],[Nominal CCT+CRI]]&amp;Master_Table[[#This Row],[Tech]]</f>
        <v>9mm-1830GA</v>
      </c>
      <c r="I23"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BXRV-DR-1830G-1000-A-13</v>
      </c>
      <c r="J23" s="118">
        <v>14</v>
      </c>
      <c r="K23" s="86">
        <v>350</v>
      </c>
      <c r="L23" s="86">
        <v>420</v>
      </c>
      <c r="M23" s="85">
        <v>684</v>
      </c>
      <c r="N23" s="94">
        <f>Master_Table[[#This Row],[Typical Lumens]]/(Master_Table[[#This Row],[Typical Voltage]]*Master_Table[[#This Row],[Typical Current]]/1000)</f>
        <v>114.9579831932773</v>
      </c>
      <c r="O23" s="86">
        <v>17</v>
      </c>
      <c r="P23" s="86">
        <v>-6.1</v>
      </c>
      <c r="Q23" s="211">
        <v>-8.376945271258572E-10</v>
      </c>
      <c r="R23" s="205">
        <v>8.9384798476104261E-7</v>
      </c>
      <c r="S23" s="205">
        <v>-3.4918548154403849E-4</v>
      </c>
      <c r="T23" s="205">
        <v>6.7662061532231255E-2</v>
      </c>
      <c r="U23" s="207">
        <v>10.340421103916475</v>
      </c>
      <c r="V23" s="208">
        <v>2.7713171428692862E-12</v>
      </c>
      <c r="W23" s="81">
        <v>-1.2246864396898417E-8</v>
      </c>
      <c r="X23" s="128">
        <v>8.34132814654428E-6</v>
      </c>
      <c r="Y23" s="128">
        <v>1.308895590819504E-3</v>
      </c>
      <c r="Z23" s="82">
        <v>3.4663316539375599E-3</v>
      </c>
      <c r="AA23" s="213">
        <v>0</v>
      </c>
      <c r="AB23" s="83">
        <v>-2.4074887656866403E-8</v>
      </c>
      <c r="AC23" s="84">
        <v>-5.8938036295637434E-8</v>
      </c>
      <c r="AD23" s="84">
        <v>-9.9306787123950571E-4</v>
      </c>
      <c r="AE23" s="84">
        <v>1.0252397031733109</v>
      </c>
      <c r="AF23" s="213">
        <v>8.5542597156927221E-8</v>
      </c>
      <c r="AG23" s="83">
        <v>-6.0482178834516255E-5</v>
      </c>
      <c r="AH23" s="83">
        <v>1.8509580038738749E-3</v>
      </c>
      <c r="AI23" s="83">
        <v>6.8080363333985616</v>
      </c>
      <c r="AJ23" s="147">
        <v>1689.1899558283326</v>
      </c>
      <c r="AK23" s="213">
        <v>8.5542597156927221E-8</v>
      </c>
      <c r="AL23" s="83">
        <v>-6.0482178834516255E-5</v>
      </c>
      <c r="AM23" s="83">
        <v>1.8509580038738749E-3</v>
      </c>
      <c r="AN23" s="83">
        <v>6.8080363333985616</v>
      </c>
      <c r="AO23" s="147">
        <v>1689.1899558283326</v>
      </c>
      <c r="AP23" s="229">
        <v>5.8607965326518762E-10</v>
      </c>
      <c r="AQ23" s="152">
        <v>-5.211847465355833E-6</v>
      </c>
      <c r="AR23" s="152">
        <v>1.7249964274464444E-2</v>
      </c>
      <c r="AS23" s="152">
        <v>-25.017302520980799</v>
      </c>
      <c r="AT23" s="230">
        <v>13399.673690109019</v>
      </c>
      <c r="AU23" s="229">
        <v>5.8607965326518762E-10</v>
      </c>
      <c r="AV23" s="152">
        <v>-5.211847465355833E-6</v>
      </c>
      <c r="AW23" s="152">
        <v>1.7249964274464444E-2</v>
      </c>
      <c r="AX23" s="152">
        <v>-25.017302520980799</v>
      </c>
      <c r="AY23" s="230">
        <v>13399.673690109019</v>
      </c>
    </row>
    <row r="24" spans="1:51" s="86" customFormat="1" ht="16.5" thickBot="1" x14ac:dyDescent="0.3">
      <c r="A24" s="115" t="s">
        <v>48</v>
      </c>
      <c r="B24" s="89" t="s">
        <v>37</v>
      </c>
      <c r="C24" s="89" t="s">
        <v>104</v>
      </c>
      <c r="D24" s="89" t="s">
        <v>96</v>
      </c>
      <c r="E24" s="89">
        <v>1000</v>
      </c>
      <c r="F24" s="89" t="s">
        <v>15</v>
      </c>
      <c r="G24" s="89" t="s">
        <v>15</v>
      </c>
      <c r="H24" s="119" t="str">
        <f>Master_Table[[#This Row],[LES-Type]]&amp;"-"&amp;Master_Table[[#This Row],[Nominal CCT+CRI]]&amp;Master_Table[[#This Row],[Tech]]</f>
        <v>9mm-1830HA</v>
      </c>
      <c r="I24" s="119"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BXRV-DR-1830H-1000-A-13</v>
      </c>
      <c r="J24" s="119">
        <v>14</v>
      </c>
      <c r="K24" s="89">
        <v>350</v>
      </c>
      <c r="L24" s="89">
        <v>420</v>
      </c>
      <c r="M24" s="88">
        <v>570</v>
      </c>
      <c r="N24" s="132">
        <f>Master_Table[[#This Row],[Typical Lumens]]/(Master_Table[[#This Row],[Typical Voltage]]*Master_Table[[#This Row],[Typical Current]]/1000)</f>
        <v>95.798319327731093</v>
      </c>
      <c r="O24" s="86">
        <v>17</v>
      </c>
      <c r="P24" s="89">
        <v>-6.1</v>
      </c>
      <c r="Q24" s="170">
        <v>-8.376945271258572E-10</v>
      </c>
      <c r="R24" s="168">
        <v>8.9384798476104261E-7</v>
      </c>
      <c r="S24" s="168">
        <v>-3.4918548154403849E-4</v>
      </c>
      <c r="T24" s="168">
        <v>6.7662061532231255E-2</v>
      </c>
      <c r="U24" s="169">
        <v>10.340421103916475</v>
      </c>
      <c r="V24" s="210">
        <v>2.7713171428692862E-12</v>
      </c>
      <c r="W24" s="140">
        <v>-1.2246864396898417E-8</v>
      </c>
      <c r="X24" s="167">
        <v>8.34132814654428E-6</v>
      </c>
      <c r="Y24" s="167">
        <v>1.308895590819504E-3</v>
      </c>
      <c r="Z24" s="141">
        <v>3.4663316539375599E-3</v>
      </c>
      <c r="AA24" s="213">
        <v>0</v>
      </c>
      <c r="AB24" s="83">
        <v>-2.4074887656866403E-8</v>
      </c>
      <c r="AC24" s="84">
        <v>-5.8938036295637434E-8</v>
      </c>
      <c r="AD24" s="84">
        <v>-9.9306787123950571E-4</v>
      </c>
      <c r="AE24" s="84">
        <v>1.0252397031733109</v>
      </c>
      <c r="AF24" s="213">
        <v>8.5542597156927221E-8</v>
      </c>
      <c r="AG24" s="83">
        <v>-6.0482178834516255E-5</v>
      </c>
      <c r="AH24" s="83">
        <v>1.8509580038738749E-3</v>
      </c>
      <c r="AI24" s="83">
        <v>6.8080363333985616</v>
      </c>
      <c r="AJ24" s="147">
        <v>1689.1899558283326</v>
      </c>
      <c r="AK24" s="213">
        <v>8.5542597156927221E-8</v>
      </c>
      <c r="AL24" s="83">
        <v>-6.0482178834516255E-5</v>
      </c>
      <c r="AM24" s="83">
        <v>1.8509580038738749E-3</v>
      </c>
      <c r="AN24" s="83">
        <v>6.8080363333985616</v>
      </c>
      <c r="AO24" s="147">
        <v>1689.1899558283326</v>
      </c>
      <c r="AP24" s="200">
        <v>5.8607965326518762E-10</v>
      </c>
      <c r="AQ24" s="152">
        <v>-5.211847465355833E-6</v>
      </c>
      <c r="AR24" s="152">
        <v>1.7249964274464444E-2</v>
      </c>
      <c r="AS24" s="152">
        <v>-25.017302520980799</v>
      </c>
      <c r="AT24" s="230">
        <v>13399.673690109019</v>
      </c>
      <c r="AU24" s="200">
        <v>5.8607965326518762E-10</v>
      </c>
      <c r="AV24" s="152">
        <v>-5.211847465355833E-6</v>
      </c>
      <c r="AW24" s="152">
        <v>1.7249964274464444E-2</v>
      </c>
      <c r="AX24" s="152">
        <v>-25.017302520980799</v>
      </c>
      <c r="AY24" s="230">
        <v>13399.673690109019</v>
      </c>
    </row>
    <row r="25" spans="1:51" s="86" customFormat="1" x14ac:dyDescent="0.25">
      <c r="A25" s="120" t="s">
        <v>160</v>
      </c>
      <c r="B25" s="121" t="s">
        <v>37</v>
      </c>
      <c r="C25" s="124" t="s">
        <v>104</v>
      </c>
      <c r="D25" s="124" t="s">
        <v>92</v>
      </c>
      <c r="E25" s="121">
        <v>1000</v>
      </c>
      <c r="F25" s="121" t="s">
        <v>15</v>
      </c>
      <c r="G25" s="121" t="s">
        <v>15</v>
      </c>
      <c r="H25" s="122" t="str">
        <f>Master_Table[[#This Row],[LES-Type]]&amp;"-"&amp;Master_Table[[#This Row],[Nominal CCT+CRI]]&amp;Master_Table[[#This Row],[Tech]]</f>
        <v>Vesta-SE 9mm-1827GA</v>
      </c>
      <c r="I25" s="122"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BXRV-DR-1827G-1000-A-13-SE</v>
      </c>
      <c r="J25" s="122">
        <v>14</v>
      </c>
      <c r="K25" s="121">
        <v>350</v>
      </c>
      <c r="L25" s="121">
        <v>420</v>
      </c>
      <c r="M25" s="130">
        <f>M21*0.95</f>
        <v>582.35</v>
      </c>
      <c r="N25" s="131">
        <f>Master_Table[[#This Row],[Typical Lumens]]/(Master_Table[[#This Row],[Typical Voltage]]*Master_Table[[#This Row],[Typical Current]]/1000)</f>
        <v>97.87394957983193</v>
      </c>
      <c r="O25" s="121">
        <v>17</v>
      </c>
      <c r="P25" s="121">
        <v>-6.1</v>
      </c>
      <c r="Q25" s="208">
        <v>-8.376945271258572E-10</v>
      </c>
      <c r="R25" s="206">
        <v>8.9384798476104261E-7</v>
      </c>
      <c r="S25" s="206">
        <v>-3.4918548154403849E-4</v>
      </c>
      <c r="T25" s="128">
        <v>6.7662061532231255E-2</v>
      </c>
      <c r="U25" s="151">
        <v>10.340421103916475</v>
      </c>
      <c r="V25" s="209">
        <v>2.0563232639415106E-12</v>
      </c>
      <c r="W25" s="137">
        <v>-1.1547329885441754E-8</v>
      </c>
      <c r="X25" s="136">
        <v>8.1130316176974384E-6</v>
      </c>
      <c r="Y25" s="136">
        <v>1.3363941338751929E-3</v>
      </c>
      <c r="Z25" s="124">
        <v>2.5720255218239819E-3</v>
      </c>
      <c r="AA25" s="212">
        <v>0</v>
      </c>
      <c r="AB25" s="142">
        <v>-2.4074887656866403E-8</v>
      </c>
      <c r="AC25" s="136">
        <v>-5.8938036295637434E-8</v>
      </c>
      <c r="AD25" s="136">
        <v>-9.9306787123950571E-4</v>
      </c>
      <c r="AE25" s="135">
        <v>1.0252397031733109</v>
      </c>
      <c r="AF25" s="212">
        <v>6.4156947867695485E-8</v>
      </c>
      <c r="AG25" s="142">
        <v>-4.5361634125887272E-5</v>
      </c>
      <c r="AH25" s="142">
        <v>1.3882185029054264E-3</v>
      </c>
      <c r="AI25" s="142">
        <v>5.1060272500489212</v>
      </c>
      <c r="AJ25" s="146">
        <v>1716.8924668712493</v>
      </c>
      <c r="AK25" s="212">
        <v>6.4156947867695485E-8</v>
      </c>
      <c r="AL25" s="142">
        <v>-4.5361634125887272E-5</v>
      </c>
      <c r="AM25" s="142">
        <v>1.3882185029054264E-3</v>
      </c>
      <c r="AN25" s="142">
        <v>5.1060272500489212</v>
      </c>
      <c r="AO25" s="146">
        <v>1716.8924668712493</v>
      </c>
      <c r="AP25" s="237">
        <v>1.8089828595020265E-9</v>
      </c>
      <c r="AQ25" s="238">
        <v>-1.5300963254309649E-5</v>
      </c>
      <c r="AR25" s="238">
        <v>4.8307059621455581E-2</v>
      </c>
      <c r="AS25" s="238">
        <v>-67.24666748668308</v>
      </c>
      <c r="AT25" s="239">
        <v>34789.640964675062</v>
      </c>
      <c r="AU25" s="237">
        <v>1.8089828595020265E-9</v>
      </c>
      <c r="AV25" s="238">
        <v>-1.5300963254309649E-5</v>
      </c>
      <c r="AW25" s="238">
        <v>4.8307059621455581E-2</v>
      </c>
      <c r="AX25" s="238">
        <v>-67.24666748668308</v>
      </c>
      <c r="AY25" s="239">
        <v>34789.640964675062</v>
      </c>
    </row>
    <row r="26" spans="1:51" s="86" customFormat="1" x14ac:dyDescent="0.25">
      <c r="A26" s="95" t="s">
        <v>160</v>
      </c>
      <c r="B26" s="86" t="s">
        <v>37</v>
      </c>
      <c r="C26" s="86" t="s">
        <v>104</v>
      </c>
      <c r="D26" s="86" t="s">
        <v>94</v>
      </c>
      <c r="E26" s="86">
        <v>1000</v>
      </c>
      <c r="F26" s="86" t="s">
        <v>15</v>
      </c>
      <c r="G26" s="86" t="s">
        <v>15</v>
      </c>
      <c r="H26" s="118" t="str">
        <f>Master_Table[[#This Row],[LES-Type]]&amp;"-"&amp;Master_Table[[#This Row],[Nominal CCT+CRI]]&amp;Master_Table[[#This Row],[Tech]]</f>
        <v>Vesta-SE 9mm-1827HA</v>
      </c>
      <c r="I26"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BXRV-DR-1827H-1000-A-13-SE</v>
      </c>
      <c r="J26" s="118">
        <v>14</v>
      </c>
      <c r="K26" s="86">
        <v>350</v>
      </c>
      <c r="L26" s="86">
        <v>420</v>
      </c>
      <c r="M26" s="85">
        <f>M22*0.95</f>
        <v>469.29999999999995</v>
      </c>
      <c r="N26" s="94">
        <f>Master_Table[[#This Row],[Typical Lumens]]/(Master_Table[[#This Row],[Typical Voltage]]*Master_Table[[#This Row],[Typical Current]]/1000)</f>
        <v>78.87394957983193</v>
      </c>
      <c r="O26" s="86">
        <v>17</v>
      </c>
      <c r="P26" s="86">
        <v>-6.1</v>
      </c>
      <c r="Q26" s="211">
        <v>-8.376945271258572E-10</v>
      </c>
      <c r="R26" s="205">
        <v>8.9384798476104261E-7</v>
      </c>
      <c r="S26" s="205">
        <v>-3.4918548154403849E-4</v>
      </c>
      <c r="T26" s="205">
        <v>6.7662061532231255E-2</v>
      </c>
      <c r="U26" s="207">
        <v>10.340421103916475</v>
      </c>
      <c r="V26" s="208">
        <v>2.0563232639415106E-12</v>
      </c>
      <c r="W26" s="81">
        <v>-1.1547329885441754E-8</v>
      </c>
      <c r="X26" s="82">
        <v>8.1130316176974384E-6</v>
      </c>
      <c r="Y26" s="82">
        <v>1.3363941338751929E-3</v>
      </c>
      <c r="Z26" s="82">
        <v>2.5720255218239819E-3</v>
      </c>
      <c r="AA26" s="213">
        <v>0</v>
      </c>
      <c r="AB26" s="83">
        <v>-2.4074887656866403E-8</v>
      </c>
      <c r="AC26" s="84">
        <v>-5.8938036295637434E-8</v>
      </c>
      <c r="AD26" s="84">
        <v>-9.9306787123950571E-4</v>
      </c>
      <c r="AE26" s="84">
        <v>1.0252397031733109</v>
      </c>
      <c r="AF26" s="213">
        <v>6.4156947867695485E-8</v>
      </c>
      <c r="AG26" s="83">
        <v>-4.5361634125887272E-5</v>
      </c>
      <c r="AH26" s="83">
        <v>1.3882185029054264E-3</v>
      </c>
      <c r="AI26" s="83">
        <v>5.1060272500489212</v>
      </c>
      <c r="AJ26" s="147">
        <v>1716.8924668712493</v>
      </c>
      <c r="AK26" s="213">
        <v>6.4156947867695485E-8</v>
      </c>
      <c r="AL26" s="83">
        <v>-4.5361634125887272E-5</v>
      </c>
      <c r="AM26" s="83">
        <v>1.3882185029054264E-3</v>
      </c>
      <c r="AN26" s="83">
        <v>5.1060272500489212</v>
      </c>
      <c r="AO26" s="147">
        <v>1716.8924668712493</v>
      </c>
      <c r="AP26" s="200">
        <v>1.8089828595020265E-9</v>
      </c>
      <c r="AQ26" s="129">
        <v>-1.5300963254309649E-5</v>
      </c>
      <c r="AR26" s="129">
        <v>4.8307059621455581E-2</v>
      </c>
      <c r="AS26" s="129">
        <v>-67.24666748668308</v>
      </c>
      <c r="AT26" s="201">
        <v>34789.640964675062</v>
      </c>
      <c r="AU26" s="200">
        <v>1.8089828595020265E-9</v>
      </c>
      <c r="AV26" s="129">
        <v>-1.5300963254309649E-5</v>
      </c>
      <c r="AW26" s="129">
        <v>4.8307059621455581E-2</v>
      </c>
      <c r="AX26" s="129">
        <v>-67.24666748668308</v>
      </c>
      <c r="AY26" s="201">
        <v>34789.640964675062</v>
      </c>
    </row>
    <row r="27" spans="1:51" s="86" customFormat="1" x14ac:dyDescent="0.25">
      <c r="A27" s="95" t="s">
        <v>160</v>
      </c>
      <c r="B27" s="86" t="s">
        <v>37</v>
      </c>
      <c r="C27" s="86" t="s">
        <v>104</v>
      </c>
      <c r="D27" s="86" t="s">
        <v>44</v>
      </c>
      <c r="E27" s="86">
        <v>1000</v>
      </c>
      <c r="F27" s="86" t="s">
        <v>15</v>
      </c>
      <c r="G27" s="86" t="s">
        <v>15</v>
      </c>
      <c r="H27" s="118" t="str">
        <f>Master_Table[[#This Row],[LES-Type]]&amp;"-"&amp;Master_Table[[#This Row],[Nominal CCT+CRI]]&amp;Master_Table[[#This Row],[Tech]]</f>
        <v>Vesta-SE 9mm-1830GA</v>
      </c>
      <c r="I27"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BXRV-DR-1830G-1000-A-13-SE</v>
      </c>
      <c r="J27" s="118">
        <v>14</v>
      </c>
      <c r="K27" s="86">
        <v>350</v>
      </c>
      <c r="L27" s="86">
        <v>420</v>
      </c>
      <c r="M27" s="85">
        <f>M23*0.95</f>
        <v>649.79999999999995</v>
      </c>
      <c r="N27" s="94">
        <f>Master_Table[[#This Row],[Typical Lumens]]/(Master_Table[[#This Row],[Typical Voltage]]*Master_Table[[#This Row],[Typical Current]]/1000)</f>
        <v>109.21008403361344</v>
      </c>
      <c r="O27" s="86">
        <v>17</v>
      </c>
      <c r="P27" s="86">
        <v>-6.1</v>
      </c>
      <c r="Q27" s="211">
        <v>-8.376945271258572E-10</v>
      </c>
      <c r="R27" s="205">
        <v>8.9384798476104261E-7</v>
      </c>
      <c r="S27" s="205">
        <v>-3.4918548154403849E-4</v>
      </c>
      <c r="T27" s="205">
        <v>6.7662061532231255E-2</v>
      </c>
      <c r="U27" s="207">
        <v>10.340421103916475</v>
      </c>
      <c r="V27" s="208">
        <v>2.7713171428692862E-12</v>
      </c>
      <c r="W27" s="81">
        <v>-1.2246864396898417E-8</v>
      </c>
      <c r="X27" s="128">
        <v>8.34132814654428E-6</v>
      </c>
      <c r="Y27" s="128">
        <v>1.308895590819504E-3</v>
      </c>
      <c r="Z27" s="82">
        <v>3.4663316539375599E-3</v>
      </c>
      <c r="AA27" s="213">
        <v>0</v>
      </c>
      <c r="AB27" s="83">
        <v>-2.4074887656866403E-8</v>
      </c>
      <c r="AC27" s="84">
        <v>-5.8938036295637434E-8</v>
      </c>
      <c r="AD27" s="84">
        <v>-9.9306787123950571E-4</v>
      </c>
      <c r="AE27" s="84">
        <v>1.0252397031733109</v>
      </c>
      <c r="AF27" s="213">
        <v>8.5542597156927221E-8</v>
      </c>
      <c r="AG27" s="83">
        <v>-6.0482178834516255E-5</v>
      </c>
      <c r="AH27" s="83">
        <v>1.8509580038738749E-3</v>
      </c>
      <c r="AI27" s="83">
        <v>6.8080363333985616</v>
      </c>
      <c r="AJ27" s="147">
        <v>1689.1899558283326</v>
      </c>
      <c r="AK27" s="213">
        <v>8.5542597156927221E-8</v>
      </c>
      <c r="AL27" s="83">
        <v>-6.0482178834516255E-5</v>
      </c>
      <c r="AM27" s="83">
        <v>1.8509580038738749E-3</v>
      </c>
      <c r="AN27" s="83">
        <v>6.8080363333985616</v>
      </c>
      <c r="AO27" s="147">
        <v>1689.1899558283326</v>
      </c>
      <c r="AP27" s="229">
        <v>5.8607965326518762E-10</v>
      </c>
      <c r="AQ27" s="152">
        <v>-5.211847465355833E-6</v>
      </c>
      <c r="AR27" s="152">
        <v>1.7249964274464444E-2</v>
      </c>
      <c r="AS27" s="152">
        <v>-25.017302520980799</v>
      </c>
      <c r="AT27" s="230">
        <v>13399.673690109019</v>
      </c>
      <c r="AU27" s="229">
        <v>5.8607965326518762E-10</v>
      </c>
      <c r="AV27" s="152">
        <v>-5.211847465355833E-6</v>
      </c>
      <c r="AW27" s="152">
        <v>1.7249964274464444E-2</v>
      </c>
      <c r="AX27" s="152">
        <v>-25.017302520980799</v>
      </c>
      <c r="AY27" s="230">
        <v>13399.673690109019</v>
      </c>
    </row>
    <row r="28" spans="1:51" s="86" customFormat="1" ht="16.5" thickBot="1" x14ac:dyDescent="0.3">
      <c r="A28" s="115" t="s">
        <v>160</v>
      </c>
      <c r="B28" s="89" t="s">
        <v>37</v>
      </c>
      <c r="C28" s="89" t="s">
        <v>104</v>
      </c>
      <c r="D28" s="89" t="s">
        <v>96</v>
      </c>
      <c r="E28" s="89">
        <v>1000</v>
      </c>
      <c r="F28" s="89" t="s">
        <v>15</v>
      </c>
      <c r="G28" s="89" t="s">
        <v>15</v>
      </c>
      <c r="H28" s="119" t="str">
        <f>Master_Table[[#This Row],[LES-Type]]&amp;"-"&amp;Master_Table[[#This Row],[Nominal CCT+CRI]]&amp;Master_Table[[#This Row],[Tech]]</f>
        <v>Vesta-SE 9mm-1830HA</v>
      </c>
      <c r="I28" s="119"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BXRV-DR-1830H-1000-A-13-SE</v>
      </c>
      <c r="J28" s="119">
        <v>14</v>
      </c>
      <c r="K28" s="89">
        <v>350</v>
      </c>
      <c r="L28" s="89">
        <v>420</v>
      </c>
      <c r="M28" s="88">
        <f>M24*0.95</f>
        <v>541.5</v>
      </c>
      <c r="N28" s="132">
        <f>Master_Table[[#This Row],[Typical Lumens]]/(Master_Table[[#This Row],[Typical Voltage]]*Master_Table[[#This Row],[Typical Current]]/1000)</f>
        <v>91.008403361344534</v>
      </c>
      <c r="O28" s="86">
        <v>17</v>
      </c>
      <c r="P28" s="89">
        <v>-6.1</v>
      </c>
      <c r="Q28" s="170">
        <v>-8.376945271258572E-10</v>
      </c>
      <c r="R28" s="168">
        <v>8.9384798476104261E-7</v>
      </c>
      <c r="S28" s="168">
        <v>-3.4918548154403849E-4</v>
      </c>
      <c r="T28" s="168">
        <v>6.7662061532231255E-2</v>
      </c>
      <c r="U28" s="169">
        <v>10.340421103916475</v>
      </c>
      <c r="V28" s="210">
        <v>2.7713171428692862E-12</v>
      </c>
      <c r="W28" s="140">
        <v>-1.2246864396898417E-8</v>
      </c>
      <c r="X28" s="167">
        <v>8.34132814654428E-6</v>
      </c>
      <c r="Y28" s="167">
        <v>1.308895590819504E-3</v>
      </c>
      <c r="Z28" s="141">
        <v>3.4663316539375599E-3</v>
      </c>
      <c r="AA28" s="213">
        <v>0</v>
      </c>
      <c r="AB28" s="83">
        <v>-2.4074887656866403E-8</v>
      </c>
      <c r="AC28" s="84">
        <v>-5.8938036295637434E-8</v>
      </c>
      <c r="AD28" s="84">
        <v>-9.9306787123950571E-4</v>
      </c>
      <c r="AE28" s="84">
        <v>1.0252397031733109</v>
      </c>
      <c r="AF28" s="214">
        <v>8.5542597156927221E-8</v>
      </c>
      <c r="AG28" s="144">
        <v>-6.0482178834516255E-5</v>
      </c>
      <c r="AH28" s="144">
        <v>1.8509580038738749E-3</v>
      </c>
      <c r="AI28" s="144">
        <v>6.8080363333985616</v>
      </c>
      <c r="AJ28" s="148">
        <v>1689.1899558283326</v>
      </c>
      <c r="AK28" s="213">
        <v>8.5542597156927221E-8</v>
      </c>
      <c r="AL28" s="83">
        <v>-6.0482178834516255E-5</v>
      </c>
      <c r="AM28" s="83">
        <v>1.8509580038738749E-3</v>
      </c>
      <c r="AN28" s="83">
        <v>6.8080363333985616</v>
      </c>
      <c r="AO28" s="147">
        <v>1689.1899558283326</v>
      </c>
      <c r="AP28" s="200">
        <v>5.8607965326518762E-10</v>
      </c>
      <c r="AQ28" s="152">
        <v>-5.211847465355833E-6</v>
      </c>
      <c r="AR28" s="152">
        <v>1.7249964274464444E-2</v>
      </c>
      <c r="AS28" s="152">
        <v>-25.017302520980799</v>
      </c>
      <c r="AT28" s="230">
        <v>13399.673690109019</v>
      </c>
      <c r="AU28" s="200">
        <v>5.8607965326518762E-10</v>
      </c>
      <c r="AV28" s="152">
        <v>-5.211847465355833E-6</v>
      </c>
      <c r="AW28" s="152">
        <v>1.7249964274464444E-2</v>
      </c>
      <c r="AX28" s="152">
        <v>-25.017302520980799</v>
      </c>
      <c r="AY28" s="230">
        <v>13399.673690109019</v>
      </c>
    </row>
    <row r="29" spans="1:51" s="86" customFormat="1" x14ac:dyDescent="0.25">
      <c r="A29" s="120" t="s">
        <v>48</v>
      </c>
      <c r="B29" s="121" t="s">
        <v>37</v>
      </c>
      <c r="C29" s="124" t="s">
        <v>104</v>
      </c>
      <c r="D29" s="124" t="s">
        <v>92</v>
      </c>
      <c r="E29" s="121">
        <v>1000</v>
      </c>
      <c r="F29" s="121" t="s">
        <v>63</v>
      </c>
      <c r="G29" s="121" t="s">
        <v>63</v>
      </c>
      <c r="H29" s="122" t="str">
        <f>Master_Table[[#This Row],[LES-Type]]&amp;"-"&amp;Master_Table[[#This Row],[Nominal CCT+CRI]]&amp;Master_Table[[#This Row],[Tech]]</f>
        <v>9mm-1827GB</v>
      </c>
      <c r="I29" s="122"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BXRV-DR-1827G-1000-B-13</v>
      </c>
      <c r="J29" s="122">
        <v>14</v>
      </c>
      <c r="K29" s="121">
        <v>350</v>
      </c>
      <c r="L29" s="121">
        <v>420</v>
      </c>
      <c r="M29" s="130">
        <v>1242</v>
      </c>
      <c r="N29" s="131">
        <f>Master_Table[[#This Row],[Typical Lumens]]/(Master_Table[[#This Row],[Typical Voltage]]*Master_Table[[#This Row],[Typical Current]]/1000)</f>
        <v>104.98732037193577</v>
      </c>
      <c r="O29" s="121">
        <v>33.799999999999997</v>
      </c>
      <c r="P29" s="121">
        <v>-12.1</v>
      </c>
      <c r="Q29" s="208">
        <v>-1.0263070615851712E-9</v>
      </c>
      <c r="R29" s="206">
        <v>1.0987480245458821E-6</v>
      </c>
      <c r="S29" s="206">
        <v>-4.3082205675544721E-4</v>
      </c>
      <c r="T29" s="128">
        <v>8.2958507290343014E-2</v>
      </c>
      <c r="U29" s="151">
        <v>25.832423191430003</v>
      </c>
      <c r="V29" s="208">
        <v>7.0452527036719384E-12</v>
      </c>
      <c r="W29" s="81">
        <v>-1.6567569708292668E-8</v>
      </c>
      <c r="X29" s="128">
        <v>9.7826352007825322E-6</v>
      </c>
      <c r="Y29" s="128">
        <v>1.1347443057740242E-3</v>
      </c>
      <c r="Z29" s="82">
        <v>8.8121211675696587E-3</v>
      </c>
      <c r="AA29" s="212">
        <v>0</v>
      </c>
      <c r="AB29" s="142">
        <v>-2.4074887656866403E-8</v>
      </c>
      <c r="AC29" s="136">
        <v>-5.8938036295637434E-8</v>
      </c>
      <c r="AD29" s="136">
        <v>-9.9306787123950571E-4</v>
      </c>
      <c r="AE29" s="127">
        <v>1.0252397031733109</v>
      </c>
      <c r="AF29" s="212">
        <v>6.4156947867695485E-8</v>
      </c>
      <c r="AG29" s="142">
        <v>-4.5361634125887272E-5</v>
      </c>
      <c r="AH29" s="142">
        <v>1.3882185029054264E-3</v>
      </c>
      <c r="AI29" s="142">
        <v>5.1060272500489212</v>
      </c>
      <c r="AJ29" s="146">
        <v>1716.8924668712493</v>
      </c>
      <c r="AK29" s="212">
        <v>6.4156947867695485E-8</v>
      </c>
      <c r="AL29" s="142">
        <v>-4.5361634125887272E-5</v>
      </c>
      <c r="AM29" s="142">
        <v>1.3882185029054264E-3</v>
      </c>
      <c r="AN29" s="142">
        <v>5.1060272500489212</v>
      </c>
      <c r="AO29" s="146">
        <v>1716.8924668712493</v>
      </c>
      <c r="AP29" s="237">
        <v>1.8089828595020265E-9</v>
      </c>
      <c r="AQ29" s="238">
        <v>-1.5300963254309649E-5</v>
      </c>
      <c r="AR29" s="238">
        <v>4.8307059621455581E-2</v>
      </c>
      <c r="AS29" s="238">
        <v>-67.24666748668308</v>
      </c>
      <c r="AT29" s="239">
        <v>34789.640964675062</v>
      </c>
      <c r="AU29" s="237">
        <v>1.8089828595020265E-9</v>
      </c>
      <c r="AV29" s="238">
        <v>-1.5300963254309649E-5</v>
      </c>
      <c r="AW29" s="238">
        <v>4.8307059621455581E-2</v>
      </c>
      <c r="AX29" s="238">
        <v>-67.24666748668308</v>
      </c>
      <c r="AY29" s="239">
        <v>34789.640964675062</v>
      </c>
    </row>
    <row r="30" spans="1:51" s="86" customFormat="1" x14ac:dyDescent="0.25">
      <c r="A30" s="95" t="s">
        <v>48</v>
      </c>
      <c r="B30" s="86" t="s">
        <v>37</v>
      </c>
      <c r="C30" s="86" t="s">
        <v>104</v>
      </c>
      <c r="D30" s="86" t="s">
        <v>94</v>
      </c>
      <c r="E30" s="86">
        <v>1000</v>
      </c>
      <c r="F30" s="86" t="s">
        <v>63</v>
      </c>
      <c r="G30" s="86" t="s">
        <v>63</v>
      </c>
      <c r="H30" s="118" t="str">
        <f>Master_Table[[#This Row],[LES-Type]]&amp;"-"&amp;Master_Table[[#This Row],[Nominal CCT+CRI]]&amp;Master_Table[[#This Row],[Tech]]</f>
        <v>9mm-1827HB</v>
      </c>
      <c r="I30"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BXRV-DR-1827H-1000-B-13</v>
      </c>
      <c r="J30" s="118">
        <v>14</v>
      </c>
      <c r="K30" s="86">
        <v>350</v>
      </c>
      <c r="L30" s="86">
        <v>420</v>
      </c>
      <c r="M30" s="85">
        <v>982</v>
      </c>
      <c r="N30" s="94">
        <f>Master_Table[[#This Row],[Typical Lumens]]/(Master_Table[[#This Row],[Typical Voltage]]*Master_Table[[#This Row],[Typical Current]]/1000)</f>
        <v>83.009298393913795</v>
      </c>
      <c r="O30" s="86">
        <v>33.799999999999997</v>
      </c>
      <c r="P30" s="86">
        <v>-12.1</v>
      </c>
      <c r="Q30" s="211">
        <v>-1.0263070615851712E-9</v>
      </c>
      <c r="R30" s="205">
        <v>1.0987480245458821E-6</v>
      </c>
      <c r="S30" s="205">
        <v>-4.3082205675544721E-4</v>
      </c>
      <c r="T30" s="205">
        <v>8.2958507290343014E-2</v>
      </c>
      <c r="U30" s="207">
        <v>25.832423191430003</v>
      </c>
      <c r="V30" s="208">
        <v>7.0452527036719384E-12</v>
      </c>
      <c r="W30" s="81">
        <v>-1.6567569708292668E-8</v>
      </c>
      <c r="X30" s="82">
        <v>9.7826352007825322E-6</v>
      </c>
      <c r="Y30" s="82">
        <v>1.1347443057740242E-3</v>
      </c>
      <c r="Z30" s="82">
        <v>8.8121211675696587E-3</v>
      </c>
      <c r="AA30" s="213">
        <v>0</v>
      </c>
      <c r="AB30" s="83">
        <v>-2.4074887656866403E-8</v>
      </c>
      <c r="AC30" s="84">
        <v>-5.8938036295637434E-8</v>
      </c>
      <c r="AD30" s="84">
        <v>-9.9306787123950571E-4</v>
      </c>
      <c r="AE30" s="143">
        <v>1.0252397031733109</v>
      </c>
      <c r="AF30" s="213">
        <v>6.4156947867695485E-8</v>
      </c>
      <c r="AG30" s="83">
        <v>-4.5361634125887272E-5</v>
      </c>
      <c r="AH30" s="83">
        <v>1.3882185029054264E-3</v>
      </c>
      <c r="AI30" s="83">
        <v>5.1060272500489212</v>
      </c>
      <c r="AJ30" s="147">
        <v>1716.8924668712493</v>
      </c>
      <c r="AK30" s="213">
        <v>6.4156947867695485E-8</v>
      </c>
      <c r="AL30" s="83">
        <v>-4.5361634125887272E-5</v>
      </c>
      <c r="AM30" s="83">
        <v>1.3882185029054264E-3</v>
      </c>
      <c r="AN30" s="83">
        <v>5.1060272500489212</v>
      </c>
      <c r="AO30" s="147">
        <v>1716.8924668712493</v>
      </c>
      <c r="AP30" s="200">
        <v>1.8089828595020265E-9</v>
      </c>
      <c r="AQ30" s="129">
        <v>-1.5300963254309649E-5</v>
      </c>
      <c r="AR30" s="129">
        <v>4.8307059621455581E-2</v>
      </c>
      <c r="AS30" s="129">
        <v>-67.24666748668308</v>
      </c>
      <c r="AT30" s="201">
        <v>34789.640964675062</v>
      </c>
      <c r="AU30" s="200">
        <v>1.8089828595020265E-9</v>
      </c>
      <c r="AV30" s="129">
        <v>-1.5300963254309649E-5</v>
      </c>
      <c r="AW30" s="129">
        <v>4.8307059621455581E-2</v>
      </c>
      <c r="AX30" s="129">
        <v>-67.24666748668308</v>
      </c>
      <c r="AY30" s="201">
        <v>34789.640964675062</v>
      </c>
    </row>
    <row r="31" spans="1:51" s="86" customFormat="1" x14ac:dyDescent="0.25">
      <c r="A31" s="95" t="s">
        <v>48</v>
      </c>
      <c r="B31" s="86" t="s">
        <v>37</v>
      </c>
      <c r="C31" s="86" t="s">
        <v>104</v>
      </c>
      <c r="D31" s="86" t="s">
        <v>44</v>
      </c>
      <c r="E31" s="86">
        <v>1000</v>
      </c>
      <c r="F31" s="86" t="s">
        <v>63</v>
      </c>
      <c r="G31" s="86" t="s">
        <v>63</v>
      </c>
      <c r="H31" s="118" t="str">
        <f>Master_Table[[#This Row],[LES-Type]]&amp;"-"&amp;Master_Table[[#This Row],[Nominal CCT+CRI]]&amp;Master_Table[[#This Row],[Tech]]</f>
        <v>9mm-1830GB</v>
      </c>
      <c r="I31"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BXRV-DR-1830G-1000-B-13</v>
      </c>
      <c r="J31" s="118">
        <v>14</v>
      </c>
      <c r="K31" s="86">
        <v>350</v>
      </c>
      <c r="L31" s="86">
        <v>420</v>
      </c>
      <c r="M31" s="85">
        <v>1360</v>
      </c>
      <c r="N31" s="94">
        <f>Master_Table[[#This Row],[Typical Lumens]]/(Master_Table[[#This Row],[Typical Voltage]]*Master_Table[[#This Row],[Typical Current]]/1000)</f>
        <v>114.96196111580728</v>
      </c>
      <c r="O31" s="86">
        <v>33.799999999999997</v>
      </c>
      <c r="P31" s="86">
        <v>-12.1</v>
      </c>
      <c r="Q31" s="211">
        <v>-1.0263070615851712E-9</v>
      </c>
      <c r="R31" s="205">
        <v>1.0987480245458821E-6</v>
      </c>
      <c r="S31" s="205">
        <v>-4.3082205675544721E-4</v>
      </c>
      <c r="T31" s="205">
        <v>8.2958507290343014E-2</v>
      </c>
      <c r="U31" s="207">
        <v>25.832423191430003</v>
      </c>
      <c r="V31" s="208">
        <v>9.7719352428597718E-12</v>
      </c>
      <c r="W31" s="81">
        <v>-1.9235296795423241E-8</v>
      </c>
      <c r="X31" s="82">
        <v>1.0653261058303705E-5</v>
      </c>
      <c r="Y31" s="82">
        <v>1.0298765587724804E-3</v>
      </c>
      <c r="Z31" s="82">
        <v>1.2222624371847304E-2</v>
      </c>
      <c r="AA31" s="213">
        <v>0</v>
      </c>
      <c r="AB31" s="83">
        <v>-2.4074887656866403E-8</v>
      </c>
      <c r="AC31" s="84">
        <v>-5.8938036295637434E-8</v>
      </c>
      <c r="AD31" s="84">
        <v>-9.9306787123950571E-4</v>
      </c>
      <c r="AE31" s="143">
        <v>1.0252397031733109</v>
      </c>
      <c r="AF31" s="213">
        <v>8.5542597156927221E-8</v>
      </c>
      <c r="AG31" s="83">
        <v>-6.0482178834516255E-5</v>
      </c>
      <c r="AH31" s="83">
        <v>1.8509580038738749E-3</v>
      </c>
      <c r="AI31" s="83">
        <v>6.8080363333985616</v>
      </c>
      <c r="AJ31" s="147">
        <v>1689.1899558283326</v>
      </c>
      <c r="AK31" s="213">
        <v>8.5542597156927221E-8</v>
      </c>
      <c r="AL31" s="83">
        <v>-6.0482178834516255E-5</v>
      </c>
      <c r="AM31" s="83">
        <v>1.8509580038738749E-3</v>
      </c>
      <c r="AN31" s="83">
        <v>6.8080363333985616</v>
      </c>
      <c r="AO31" s="147">
        <v>1689.1899558283326</v>
      </c>
      <c r="AP31" s="229">
        <v>5.8607965326518762E-10</v>
      </c>
      <c r="AQ31" s="152">
        <v>-5.211847465355833E-6</v>
      </c>
      <c r="AR31" s="152">
        <v>1.7249964274464444E-2</v>
      </c>
      <c r="AS31" s="152">
        <v>-25.017302520980799</v>
      </c>
      <c r="AT31" s="230">
        <v>13399.673690109019</v>
      </c>
      <c r="AU31" s="229">
        <v>5.8607965326518762E-10</v>
      </c>
      <c r="AV31" s="152">
        <v>-5.211847465355833E-6</v>
      </c>
      <c r="AW31" s="152">
        <v>1.7249964274464444E-2</v>
      </c>
      <c r="AX31" s="152">
        <v>-25.017302520980799</v>
      </c>
      <c r="AY31" s="230">
        <v>13399.673690109019</v>
      </c>
    </row>
    <row r="32" spans="1:51" s="86" customFormat="1" ht="16.5" thickBot="1" x14ac:dyDescent="0.3">
      <c r="A32" s="115" t="s">
        <v>48</v>
      </c>
      <c r="B32" s="89" t="s">
        <v>37</v>
      </c>
      <c r="C32" s="89" t="s">
        <v>104</v>
      </c>
      <c r="D32" s="89" t="s">
        <v>96</v>
      </c>
      <c r="E32" s="89">
        <v>1000</v>
      </c>
      <c r="F32" s="89" t="s">
        <v>63</v>
      </c>
      <c r="G32" s="89" t="s">
        <v>63</v>
      </c>
      <c r="H32" s="119" t="str">
        <f>Master_Table[[#This Row],[LES-Type]]&amp;"-"&amp;Master_Table[[#This Row],[Nominal CCT+CRI]]&amp;Master_Table[[#This Row],[Tech]]</f>
        <v>9mm-1830HB</v>
      </c>
      <c r="I32" s="119"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BXRV-DR-1830H-1000-B-13</v>
      </c>
      <c r="J32" s="119">
        <v>14</v>
      </c>
      <c r="K32" s="89">
        <v>350</v>
      </c>
      <c r="L32" s="89">
        <v>420</v>
      </c>
      <c r="M32" s="88">
        <v>1150</v>
      </c>
      <c r="N32" s="132">
        <f>Master_Table[[#This Row],[Typical Lumens]]/(Master_Table[[#This Row],[Typical Voltage]]*Master_Table[[#This Row],[Typical Current]]/1000)</f>
        <v>97.210481825866452</v>
      </c>
      <c r="O32" s="89">
        <v>33.799999999999997</v>
      </c>
      <c r="P32" s="89">
        <v>-12.1</v>
      </c>
      <c r="Q32" s="170">
        <v>-1.0263070615851712E-9</v>
      </c>
      <c r="R32" s="168">
        <v>1.0987480245458821E-6</v>
      </c>
      <c r="S32" s="168">
        <v>-4.3082205675544721E-4</v>
      </c>
      <c r="T32" s="168">
        <v>8.2958507290343014E-2</v>
      </c>
      <c r="U32" s="169">
        <v>25.832423191430003</v>
      </c>
      <c r="V32" s="210">
        <v>9.7719352428597718E-12</v>
      </c>
      <c r="W32" s="140">
        <v>-1.9235296795423241E-8</v>
      </c>
      <c r="X32" s="141">
        <v>1.0653261058303705E-5</v>
      </c>
      <c r="Y32" s="141">
        <v>1.0298765587724804E-3</v>
      </c>
      <c r="Z32" s="141">
        <v>1.2222624371847304E-2</v>
      </c>
      <c r="AA32" s="214">
        <v>0</v>
      </c>
      <c r="AB32" s="144">
        <v>-2.4074887656866403E-8</v>
      </c>
      <c r="AC32" s="145">
        <v>-5.8938036295637434E-8</v>
      </c>
      <c r="AD32" s="145">
        <v>-9.9306787123950571E-4</v>
      </c>
      <c r="AE32" s="233">
        <v>1.0252397031733109</v>
      </c>
      <c r="AF32" s="213">
        <v>8.5542597156927221E-8</v>
      </c>
      <c r="AG32" s="83">
        <v>-6.0482178834516255E-5</v>
      </c>
      <c r="AH32" s="83">
        <v>1.8509580038738749E-3</v>
      </c>
      <c r="AI32" s="83">
        <v>6.8080363333985616</v>
      </c>
      <c r="AJ32" s="147">
        <v>1689.1899558283326</v>
      </c>
      <c r="AK32" s="213">
        <v>8.5542597156927221E-8</v>
      </c>
      <c r="AL32" s="83">
        <v>-6.0482178834516255E-5</v>
      </c>
      <c r="AM32" s="83">
        <v>1.8509580038738749E-3</v>
      </c>
      <c r="AN32" s="83">
        <v>6.8080363333985616</v>
      </c>
      <c r="AO32" s="147">
        <v>1689.1899558283326</v>
      </c>
      <c r="AP32" s="200">
        <v>5.8607965326518762E-10</v>
      </c>
      <c r="AQ32" s="152">
        <v>-5.211847465355833E-6</v>
      </c>
      <c r="AR32" s="152">
        <v>1.7249964274464444E-2</v>
      </c>
      <c r="AS32" s="152">
        <v>-25.017302520980799</v>
      </c>
      <c r="AT32" s="230">
        <v>13399.673690109019</v>
      </c>
      <c r="AU32" s="200">
        <v>5.8607965326518762E-10</v>
      </c>
      <c r="AV32" s="152">
        <v>-5.211847465355833E-6</v>
      </c>
      <c r="AW32" s="152">
        <v>1.7249964274464444E-2</v>
      </c>
      <c r="AX32" s="152">
        <v>-25.017302520980799</v>
      </c>
      <c r="AY32" s="230">
        <v>13399.673690109019</v>
      </c>
    </row>
    <row r="33" spans="1:51" s="86" customFormat="1" x14ac:dyDescent="0.25">
      <c r="A33" s="120" t="s">
        <v>160</v>
      </c>
      <c r="B33" s="121" t="s">
        <v>37</v>
      </c>
      <c r="C33" s="124" t="s">
        <v>104</v>
      </c>
      <c r="D33" s="124" t="s">
        <v>92</v>
      </c>
      <c r="E33" s="121">
        <v>1000</v>
      </c>
      <c r="F33" s="121" t="s">
        <v>63</v>
      </c>
      <c r="G33" s="121" t="s">
        <v>63</v>
      </c>
      <c r="H33" s="122" t="str">
        <f>Master_Table[[#This Row],[LES-Type]]&amp;"-"&amp;Master_Table[[#This Row],[Nominal CCT+CRI]]&amp;Master_Table[[#This Row],[Tech]]</f>
        <v>Vesta-SE 9mm-1827GB</v>
      </c>
      <c r="I33" s="122"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BXRV-DR-1827G-1000-B-13-SE</v>
      </c>
      <c r="J33" s="122">
        <v>14</v>
      </c>
      <c r="K33" s="121">
        <v>350</v>
      </c>
      <c r="L33" s="121">
        <v>420</v>
      </c>
      <c r="M33" s="130">
        <f>M29*0.95</f>
        <v>1179.8999999999999</v>
      </c>
      <c r="N33" s="131">
        <f>Master_Table[[#This Row],[Typical Lumens]]/(Master_Table[[#This Row],[Typical Voltage]]*Master_Table[[#This Row],[Typical Current]]/1000)</f>
        <v>99.737954353338978</v>
      </c>
      <c r="O33" s="121">
        <v>33.799999999999997</v>
      </c>
      <c r="P33" s="121">
        <v>-12.1</v>
      </c>
      <c r="Q33" s="208">
        <v>-1.0263070615851712E-9</v>
      </c>
      <c r="R33" s="206">
        <v>1.0987480245458821E-6</v>
      </c>
      <c r="S33" s="206">
        <v>-4.3082205675544721E-4</v>
      </c>
      <c r="T33" s="128">
        <v>8.2958507290343014E-2</v>
      </c>
      <c r="U33" s="151">
        <v>25.832423191430003</v>
      </c>
      <c r="V33" s="208">
        <v>7.0452527036719384E-12</v>
      </c>
      <c r="W33" s="81">
        <v>-1.6567569708292668E-8</v>
      </c>
      <c r="X33" s="128">
        <v>9.7826352007825322E-6</v>
      </c>
      <c r="Y33" s="128">
        <v>1.1347443057740242E-3</v>
      </c>
      <c r="Z33" s="82">
        <v>8.8121211675696587E-3</v>
      </c>
      <c r="AA33" s="212">
        <v>0</v>
      </c>
      <c r="AB33" s="142">
        <v>-2.4074887656866403E-8</v>
      </c>
      <c r="AC33" s="136">
        <v>-5.8938036295637434E-8</v>
      </c>
      <c r="AD33" s="136">
        <v>-9.9306787123950571E-4</v>
      </c>
      <c r="AE33" s="127">
        <v>1.0252397031733109</v>
      </c>
      <c r="AF33" s="212">
        <v>6.4156947867695485E-8</v>
      </c>
      <c r="AG33" s="142">
        <v>-4.5361634125887272E-5</v>
      </c>
      <c r="AH33" s="142">
        <v>1.3882185029054264E-3</v>
      </c>
      <c r="AI33" s="142">
        <v>5.1060272500489212</v>
      </c>
      <c r="AJ33" s="146">
        <v>1716.8924668712493</v>
      </c>
      <c r="AK33" s="212">
        <v>6.4156947867695485E-8</v>
      </c>
      <c r="AL33" s="142">
        <v>-4.5361634125887272E-5</v>
      </c>
      <c r="AM33" s="142">
        <v>1.3882185029054264E-3</v>
      </c>
      <c r="AN33" s="142">
        <v>5.1060272500489212</v>
      </c>
      <c r="AO33" s="146">
        <v>1716.8924668712493</v>
      </c>
      <c r="AP33" s="237">
        <v>1.8089828595020265E-9</v>
      </c>
      <c r="AQ33" s="238">
        <v>-1.5300963254309649E-5</v>
      </c>
      <c r="AR33" s="238">
        <v>4.8307059621455581E-2</v>
      </c>
      <c r="AS33" s="238">
        <v>-67.24666748668308</v>
      </c>
      <c r="AT33" s="239">
        <v>34789.640964675062</v>
      </c>
      <c r="AU33" s="237">
        <v>1.8089828595020265E-9</v>
      </c>
      <c r="AV33" s="238">
        <v>-1.5300963254309649E-5</v>
      </c>
      <c r="AW33" s="238">
        <v>4.8307059621455581E-2</v>
      </c>
      <c r="AX33" s="238">
        <v>-67.24666748668308</v>
      </c>
      <c r="AY33" s="239">
        <v>34789.640964675062</v>
      </c>
    </row>
    <row r="34" spans="1:51" s="86" customFormat="1" x14ac:dyDescent="0.25">
      <c r="A34" s="95" t="s">
        <v>160</v>
      </c>
      <c r="B34" s="86" t="s">
        <v>37</v>
      </c>
      <c r="C34" s="86" t="s">
        <v>104</v>
      </c>
      <c r="D34" s="86" t="s">
        <v>94</v>
      </c>
      <c r="E34" s="86">
        <v>1000</v>
      </c>
      <c r="F34" s="86" t="s">
        <v>63</v>
      </c>
      <c r="G34" s="86" t="s">
        <v>63</v>
      </c>
      <c r="H34" s="118" t="str">
        <f>Master_Table[[#This Row],[LES-Type]]&amp;"-"&amp;Master_Table[[#This Row],[Nominal CCT+CRI]]&amp;Master_Table[[#This Row],[Tech]]</f>
        <v>Vesta-SE 9mm-1827HB</v>
      </c>
      <c r="I34"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BXRV-DR-1827H-1000-B-13-SE</v>
      </c>
      <c r="J34" s="118">
        <v>14</v>
      </c>
      <c r="K34" s="86">
        <v>350</v>
      </c>
      <c r="L34" s="86">
        <v>420</v>
      </c>
      <c r="M34" s="85">
        <f>M30*0.95</f>
        <v>932.9</v>
      </c>
      <c r="N34" s="94">
        <f>Master_Table[[#This Row],[Typical Lumens]]/(Master_Table[[#This Row],[Typical Voltage]]*Master_Table[[#This Row],[Typical Current]]/1000)</f>
        <v>78.858833474218102</v>
      </c>
      <c r="O34" s="86">
        <v>33.799999999999997</v>
      </c>
      <c r="P34" s="86">
        <v>-12.1</v>
      </c>
      <c r="Q34" s="211">
        <v>-1.0263070615851712E-9</v>
      </c>
      <c r="R34" s="205">
        <v>1.0987480245458821E-6</v>
      </c>
      <c r="S34" s="205">
        <v>-4.3082205675544721E-4</v>
      </c>
      <c r="T34" s="205">
        <v>8.2958507290343014E-2</v>
      </c>
      <c r="U34" s="207">
        <v>25.832423191430003</v>
      </c>
      <c r="V34" s="208">
        <v>7.0452527036719384E-12</v>
      </c>
      <c r="W34" s="81">
        <v>-1.6567569708292668E-8</v>
      </c>
      <c r="X34" s="82">
        <v>9.7826352007825322E-6</v>
      </c>
      <c r="Y34" s="82">
        <v>1.1347443057740242E-3</v>
      </c>
      <c r="Z34" s="82">
        <v>8.8121211675696587E-3</v>
      </c>
      <c r="AA34" s="213">
        <v>0</v>
      </c>
      <c r="AB34" s="83">
        <v>-2.4074887656866403E-8</v>
      </c>
      <c r="AC34" s="84">
        <v>-5.8938036295637434E-8</v>
      </c>
      <c r="AD34" s="84">
        <v>-9.9306787123950571E-4</v>
      </c>
      <c r="AE34" s="143">
        <v>1.0252397031733109</v>
      </c>
      <c r="AF34" s="213">
        <v>6.4156947867695485E-8</v>
      </c>
      <c r="AG34" s="83">
        <v>-4.5361634125887272E-5</v>
      </c>
      <c r="AH34" s="83">
        <v>1.3882185029054264E-3</v>
      </c>
      <c r="AI34" s="83">
        <v>5.1060272500489212</v>
      </c>
      <c r="AJ34" s="147">
        <v>1716.8924668712493</v>
      </c>
      <c r="AK34" s="213">
        <v>6.4156947867695485E-8</v>
      </c>
      <c r="AL34" s="83">
        <v>-4.5361634125887272E-5</v>
      </c>
      <c r="AM34" s="83">
        <v>1.3882185029054264E-3</v>
      </c>
      <c r="AN34" s="83">
        <v>5.1060272500489212</v>
      </c>
      <c r="AO34" s="147">
        <v>1716.8924668712493</v>
      </c>
      <c r="AP34" s="200">
        <v>1.8089828595020265E-9</v>
      </c>
      <c r="AQ34" s="129">
        <v>-1.5300963254309649E-5</v>
      </c>
      <c r="AR34" s="129">
        <v>4.8307059621455581E-2</v>
      </c>
      <c r="AS34" s="129">
        <v>-67.24666748668308</v>
      </c>
      <c r="AT34" s="201">
        <v>34789.640964675062</v>
      </c>
      <c r="AU34" s="200">
        <v>1.8089828595020265E-9</v>
      </c>
      <c r="AV34" s="129">
        <v>-1.5300963254309649E-5</v>
      </c>
      <c r="AW34" s="129">
        <v>4.8307059621455581E-2</v>
      </c>
      <c r="AX34" s="129">
        <v>-67.24666748668308</v>
      </c>
      <c r="AY34" s="201">
        <v>34789.640964675062</v>
      </c>
    </row>
    <row r="35" spans="1:51" s="86" customFormat="1" x14ac:dyDescent="0.25">
      <c r="A35" s="95" t="s">
        <v>160</v>
      </c>
      <c r="B35" s="86" t="s">
        <v>37</v>
      </c>
      <c r="C35" s="86" t="s">
        <v>104</v>
      </c>
      <c r="D35" s="86" t="s">
        <v>44</v>
      </c>
      <c r="E35" s="86">
        <v>1000</v>
      </c>
      <c r="F35" s="86" t="s">
        <v>63</v>
      </c>
      <c r="G35" s="86" t="s">
        <v>63</v>
      </c>
      <c r="H35" s="118" t="str">
        <f>Master_Table[[#This Row],[LES-Type]]&amp;"-"&amp;Master_Table[[#This Row],[Nominal CCT+CRI]]&amp;Master_Table[[#This Row],[Tech]]</f>
        <v>Vesta-SE 9mm-1830GB</v>
      </c>
      <c r="I35"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BXRV-DR-1830G-1000-B-13-SE</v>
      </c>
      <c r="J35" s="118">
        <v>14</v>
      </c>
      <c r="K35" s="86">
        <v>350</v>
      </c>
      <c r="L35" s="86">
        <v>420</v>
      </c>
      <c r="M35" s="85">
        <f>M31*0.95</f>
        <v>1292</v>
      </c>
      <c r="N35" s="94">
        <f>Master_Table[[#This Row],[Typical Lumens]]/(Master_Table[[#This Row],[Typical Voltage]]*Master_Table[[#This Row],[Typical Current]]/1000)</f>
        <v>109.21386306001692</v>
      </c>
      <c r="O35" s="86">
        <v>33.799999999999997</v>
      </c>
      <c r="P35" s="86">
        <v>-12.1</v>
      </c>
      <c r="Q35" s="211">
        <v>-1.0263070615851712E-9</v>
      </c>
      <c r="R35" s="205">
        <v>1.0987480245458821E-6</v>
      </c>
      <c r="S35" s="205">
        <v>-4.3082205675544721E-4</v>
      </c>
      <c r="T35" s="205">
        <v>8.2958507290343014E-2</v>
      </c>
      <c r="U35" s="207">
        <v>25.832423191430003</v>
      </c>
      <c r="V35" s="208">
        <v>9.7719352428597718E-12</v>
      </c>
      <c r="W35" s="81">
        <v>-1.9235296795423241E-8</v>
      </c>
      <c r="X35" s="82">
        <v>1.0653261058303705E-5</v>
      </c>
      <c r="Y35" s="82">
        <v>1.0298765587724804E-3</v>
      </c>
      <c r="Z35" s="82">
        <v>1.2222624371847304E-2</v>
      </c>
      <c r="AA35" s="213">
        <v>0</v>
      </c>
      <c r="AB35" s="83">
        <v>-2.4074887656866403E-8</v>
      </c>
      <c r="AC35" s="84">
        <v>-5.8938036295637434E-8</v>
      </c>
      <c r="AD35" s="84">
        <v>-9.9306787123950571E-4</v>
      </c>
      <c r="AE35" s="143">
        <v>1.0252397031733109</v>
      </c>
      <c r="AF35" s="213">
        <v>8.5542597156927221E-8</v>
      </c>
      <c r="AG35" s="83">
        <v>-6.0482178834516255E-5</v>
      </c>
      <c r="AH35" s="83">
        <v>1.8509580038738749E-3</v>
      </c>
      <c r="AI35" s="83">
        <v>6.8080363333985616</v>
      </c>
      <c r="AJ35" s="147">
        <v>1689.1899558283326</v>
      </c>
      <c r="AK35" s="213">
        <v>8.5542597156927221E-8</v>
      </c>
      <c r="AL35" s="83">
        <v>-6.0482178834516255E-5</v>
      </c>
      <c r="AM35" s="83">
        <v>1.8509580038738749E-3</v>
      </c>
      <c r="AN35" s="83">
        <v>6.8080363333985616</v>
      </c>
      <c r="AO35" s="147">
        <v>1689.1899558283326</v>
      </c>
      <c r="AP35" s="229">
        <v>5.8607965326518762E-10</v>
      </c>
      <c r="AQ35" s="152">
        <v>-5.211847465355833E-6</v>
      </c>
      <c r="AR35" s="152">
        <v>1.7249964274464444E-2</v>
      </c>
      <c r="AS35" s="152">
        <v>-25.017302520980799</v>
      </c>
      <c r="AT35" s="230">
        <v>13399.673690109019</v>
      </c>
      <c r="AU35" s="229">
        <v>5.8607965326518762E-10</v>
      </c>
      <c r="AV35" s="152">
        <v>-5.211847465355833E-6</v>
      </c>
      <c r="AW35" s="152">
        <v>1.7249964274464444E-2</v>
      </c>
      <c r="AX35" s="152">
        <v>-25.017302520980799</v>
      </c>
      <c r="AY35" s="230">
        <v>13399.673690109019</v>
      </c>
    </row>
    <row r="36" spans="1:51" s="86" customFormat="1" ht="16.5" thickBot="1" x14ac:dyDescent="0.3">
      <c r="A36" s="115" t="s">
        <v>160</v>
      </c>
      <c r="B36" s="89" t="s">
        <v>37</v>
      </c>
      <c r="C36" s="89" t="s">
        <v>104</v>
      </c>
      <c r="D36" s="89" t="s">
        <v>96</v>
      </c>
      <c r="E36" s="89">
        <v>1000</v>
      </c>
      <c r="F36" s="89" t="s">
        <v>63</v>
      </c>
      <c r="G36" s="89" t="s">
        <v>63</v>
      </c>
      <c r="H36" s="119" t="str">
        <f>Master_Table[[#This Row],[LES-Type]]&amp;"-"&amp;Master_Table[[#This Row],[Nominal CCT+CRI]]&amp;Master_Table[[#This Row],[Tech]]</f>
        <v>Vesta-SE 9mm-1830HB</v>
      </c>
      <c r="I36" s="119"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BXRV-DR-1830H-1000-B-13-SE</v>
      </c>
      <c r="J36" s="119">
        <v>14</v>
      </c>
      <c r="K36" s="89">
        <v>350</v>
      </c>
      <c r="L36" s="89">
        <v>420</v>
      </c>
      <c r="M36" s="88">
        <f>M32*0.95</f>
        <v>1092.5</v>
      </c>
      <c r="N36" s="132">
        <f>Master_Table[[#This Row],[Typical Lumens]]/(Master_Table[[#This Row],[Typical Voltage]]*Master_Table[[#This Row],[Typical Current]]/1000)</f>
        <v>92.349957734573138</v>
      </c>
      <c r="O36" s="89">
        <v>33.799999999999997</v>
      </c>
      <c r="P36" s="89">
        <v>-12.1</v>
      </c>
      <c r="Q36" s="170">
        <v>-1.0263070615851712E-9</v>
      </c>
      <c r="R36" s="168">
        <v>1.0987480245458821E-6</v>
      </c>
      <c r="S36" s="168">
        <v>-4.3082205675544721E-4</v>
      </c>
      <c r="T36" s="168">
        <v>8.2958507290343014E-2</v>
      </c>
      <c r="U36" s="169">
        <v>25.832423191430003</v>
      </c>
      <c r="V36" s="210">
        <v>9.7719352428597718E-12</v>
      </c>
      <c r="W36" s="140">
        <v>-1.9235296795423241E-8</v>
      </c>
      <c r="X36" s="141">
        <v>1.0653261058303705E-5</v>
      </c>
      <c r="Y36" s="141">
        <v>1.0298765587724804E-3</v>
      </c>
      <c r="Z36" s="141">
        <v>1.2222624371847304E-2</v>
      </c>
      <c r="AA36" s="214">
        <v>0</v>
      </c>
      <c r="AB36" s="144">
        <v>-2.4074887656866403E-8</v>
      </c>
      <c r="AC36" s="145">
        <v>-5.8938036295637434E-8</v>
      </c>
      <c r="AD36" s="145">
        <v>-9.9306787123950571E-4</v>
      </c>
      <c r="AE36" s="233">
        <v>1.0252397031733109</v>
      </c>
      <c r="AF36" s="214">
        <v>8.5542597156927221E-8</v>
      </c>
      <c r="AG36" s="144">
        <v>-6.0482178834516255E-5</v>
      </c>
      <c r="AH36" s="144">
        <v>1.8509580038738749E-3</v>
      </c>
      <c r="AI36" s="144">
        <v>6.8080363333985616</v>
      </c>
      <c r="AJ36" s="148">
        <v>1689.1899558283326</v>
      </c>
      <c r="AK36" s="214">
        <v>8.5542597156927221E-8</v>
      </c>
      <c r="AL36" s="144">
        <v>-6.0482178834516255E-5</v>
      </c>
      <c r="AM36" s="144">
        <v>1.8509580038738749E-3</v>
      </c>
      <c r="AN36" s="144">
        <v>6.8080363333985616</v>
      </c>
      <c r="AO36" s="148">
        <v>1689.1899558283326</v>
      </c>
      <c r="AP36" s="200">
        <v>5.8607965326518762E-10</v>
      </c>
      <c r="AQ36" s="152">
        <v>-5.211847465355833E-6</v>
      </c>
      <c r="AR36" s="152">
        <v>1.7249964274464444E-2</v>
      </c>
      <c r="AS36" s="152">
        <v>-25.017302520980799</v>
      </c>
      <c r="AT36" s="230">
        <v>13399.673690109019</v>
      </c>
      <c r="AU36" s="200">
        <v>5.8607965326518762E-10</v>
      </c>
      <c r="AV36" s="152">
        <v>-5.211847465355833E-6</v>
      </c>
      <c r="AW36" s="152">
        <v>1.7249964274464444E-2</v>
      </c>
      <c r="AX36" s="152">
        <v>-25.017302520980799</v>
      </c>
      <c r="AY36" s="230">
        <v>13399.673690109019</v>
      </c>
    </row>
    <row r="37" spans="1:51" s="96" customFormat="1" x14ac:dyDescent="0.25">
      <c r="A37" s="95" t="s">
        <v>49</v>
      </c>
      <c r="B37" s="82" t="s">
        <v>37</v>
      </c>
      <c r="C37" s="124" t="s">
        <v>104</v>
      </c>
      <c r="D37" s="124" t="s">
        <v>92</v>
      </c>
      <c r="E37" s="99" t="s">
        <v>112</v>
      </c>
      <c r="F37" s="82" t="s">
        <v>15</v>
      </c>
      <c r="G37" s="82" t="s">
        <v>15</v>
      </c>
      <c r="H37" s="82" t="str">
        <f>Master_Table[[#This Row],[LES-Type]]&amp;"-"&amp;Master_Table[[#This Row],[Nominal CCT+CRI]]&amp;Master_Table[[#This Row],[Tech]]</f>
        <v>13mm-1827GA</v>
      </c>
      <c r="I37" s="82"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BXRV-DR-1827G-2000-A-13</v>
      </c>
      <c r="J37" s="82">
        <v>20</v>
      </c>
      <c r="K37" s="193">
        <v>600</v>
      </c>
      <c r="L37" s="121">
        <v>720</v>
      </c>
      <c r="M37" s="194">
        <v>2111</v>
      </c>
      <c r="N37" s="195">
        <f>Master_Table[[#This Row],[Typical Lumens]]/(Master_Table[[#This Row],[Typical Voltage]]*Master_Table[[#This Row],[Typical Current]]/1000)</f>
        <v>105.02487562189054</v>
      </c>
      <c r="O37" s="84">
        <v>33.5</v>
      </c>
      <c r="P37" s="143">
        <v>-12.1</v>
      </c>
      <c r="Q37" s="208">
        <v>-1.2470292830594369E-10</v>
      </c>
      <c r="R37" s="206">
        <v>2.2734000912019639E-7</v>
      </c>
      <c r="S37" s="206">
        <v>-1.5056316798366467E-4</v>
      </c>
      <c r="T37" s="128">
        <v>4.7938591121228488E-2</v>
      </c>
      <c r="U37" s="151">
        <v>26.000184370165666</v>
      </c>
      <c r="V37" s="209">
        <v>-2.421962082336712E-13</v>
      </c>
      <c r="W37" s="137">
        <v>-7.4249550196922771E-10</v>
      </c>
      <c r="X37" s="136">
        <v>1.2355486467678302E-6</v>
      </c>
      <c r="Y37" s="136">
        <v>1.2505421601140371E-3</v>
      </c>
      <c r="Z37" s="138">
        <v>-3.2333080334528211E-3</v>
      </c>
      <c r="AA37" s="212">
        <v>0</v>
      </c>
      <c r="AB37" s="142">
        <v>3.6387447940109519E-9</v>
      </c>
      <c r="AC37" s="136">
        <v>-4.3617292422584442E-6</v>
      </c>
      <c r="AD37" s="136">
        <v>-1.1442832912038402E-3</v>
      </c>
      <c r="AE37" s="127">
        <v>1.0312763076691012</v>
      </c>
      <c r="AF37" s="212">
        <v>-3.7005321210428487E-9</v>
      </c>
      <c r="AG37" s="282">
        <v>1.0114019313581315E-5</v>
      </c>
      <c r="AH37" s="282">
        <v>-1.0418289531098003E-2</v>
      </c>
      <c r="AI37" s="282">
        <v>5.0771114962595325</v>
      </c>
      <c r="AJ37" s="283">
        <v>1696.8931479305706</v>
      </c>
      <c r="AK37" s="212">
        <v>-3.7005321210428487E-9</v>
      </c>
      <c r="AL37" s="282">
        <v>1.0114019313581315E-5</v>
      </c>
      <c r="AM37" s="282">
        <v>-1.0418289531098003E-2</v>
      </c>
      <c r="AN37" s="282">
        <v>5.0771114962595325</v>
      </c>
      <c r="AO37" s="283">
        <v>1696.8931479305706</v>
      </c>
      <c r="AP37" s="226">
        <v>3.8233560680488095E-9</v>
      </c>
      <c r="AQ37" s="227">
        <v>-3.2602739507169819E-5</v>
      </c>
      <c r="AR37" s="227">
        <v>0.10394441584752064</v>
      </c>
      <c r="AS37" s="227">
        <v>-146.51913074557123</v>
      </c>
      <c r="AT37" s="228">
        <v>76977.847032519712</v>
      </c>
      <c r="AU37" s="226">
        <v>3.8233560680488095E-9</v>
      </c>
      <c r="AV37" s="227">
        <v>-3.2602739507169819E-5</v>
      </c>
      <c r="AW37" s="227">
        <v>0.10394441584752064</v>
      </c>
      <c r="AX37" s="227">
        <v>-146.51913074557123</v>
      </c>
      <c r="AY37" s="228">
        <v>76977.847032519712</v>
      </c>
    </row>
    <row r="38" spans="1:51" s="86" customFormat="1" x14ac:dyDescent="0.25">
      <c r="A38" s="95" t="s">
        <v>49</v>
      </c>
      <c r="B38" s="86" t="s">
        <v>37</v>
      </c>
      <c r="C38" s="86" t="s">
        <v>104</v>
      </c>
      <c r="D38" s="86" t="s">
        <v>94</v>
      </c>
      <c r="E38" s="99" t="s">
        <v>112</v>
      </c>
      <c r="F38" s="86" t="s">
        <v>15</v>
      </c>
      <c r="G38" s="86" t="s">
        <v>15</v>
      </c>
      <c r="H38" s="86" t="str">
        <f>Master_Table[[#This Row],[LES-Type]]&amp;"-"&amp;Master_Table[[#This Row],[Nominal CCT+CRI]]&amp;Master_Table[[#This Row],[Tech]]</f>
        <v>13mm-1827HA</v>
      </c>
      <c r="I38" s="86"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BXRV-DR-1827H-2000-A-13</v>
      </c>
      <c r="J38" s="86">
        <v>20</v>
      </c>
      <c r="K38" s="86">
        <v>600</v>
      </c>
      <c r="L38" s="86">
        <v>720</v>
      </c>
      <c r="M38" s="85">
        <v>1668</v>
      </c>
      <c r="N38" s="94">
        <f>Master_Table[[#This Row],[Typical Lumens]]/(Master_Table[[#This Row],[Typical Voltage]]*Master_Table[[#This Row],[Typical Current]]/1000)</f>
        <v>82.985074626865668</v>
      </c>
      <c r="O38" s="84">
        <v>33.5</v>
      </c>
      <c r="P38" s="87">
        <v>-12.1</v>
      </c>
      <c r="Q38" s="211">
        <v>-1.2470292830594369E-10</v>
      </c>
      <c r="R38" s="205">
        <v>2.2734000912019639E-7</v>
      </c>
      <c r="S38" s="205">
        <v>-1.5056316798366467E-4</v>
      </c>
      <c r="T38" s="205">
        <v>4.7938591121228488E-2</v>
      </c>
      <c r="U38" s="207">
        <v>26.000184370165666</v>
      </c>
      <c r="V38" s="208">
        <v>-2.421962082336712E-13</v>
      </c>
      <c r="W38" s="81">
        <v>-7.4249550196922771E-10</v>
      </c>
      <c r="X38" s="128">
        <v>1.2355486467678302E-6</v>
      </c>
      <c r="Y38" s="128">
        <v>1.2505421601140371E-3</v>
      </c>
      <c r="Z38" s="139">
        <v>-3.2333080334528211E-3</v>
      </c>
      <c r="AA38" s="213">
        <v>0</v>
      </c>
      <c r="AB38" s="83">
        <v>3.6387447940109519E-9</v>
      </c>
      <c r="AC38" s="128">
        <v>-4.3617292422584442E-6</v>
      </c>
      <c r="AD38" s="128">
        <v>-1.1442832912038402E-3</v>
      </c>
      <c r="AE38" s="143">
        <v>1.0312763076691012</v>
      </c>
      <c r="AF38" s="213">
        <v>-3.7005321210428487E-9</v>
      </c>
      <c r="AG38" s="83">
        <v>1.0114019313581315E-5</v>
      </c>
      <c r="AH38" s="83">
        <v>-1.0418289531098003E-2</v>
      </c>
      <c r="AI38" s="83">
        <v>5.0771114962595325</v>
      </c>
      <c r="AJ38" s="147">
        <v>1696.8931479305706</v>
      </c>
      <c r="AK38" s="213">
        <v>-3.7005321210428487E-9</v>
      </c>
      <c r="AL38" s="83">
        <v>1.0114019313581315E-5</v>
      </c>
      <c r="AM38" s="83">
        <v>-1.0418289531098003E-2</v>
      </c>
      <c r="AN38" s="83">
        <v>5.0771114962595325</v>
      </c>
      <c r="AO38" s="147">
        <v>1696.8931479305706</v>
      </c>
      <c r="AP38" s="200">
        <v>3.8233560680488095E-9</v>
      </c>
      <c r="AQ38" s="129">
        <v>-3.2602739507169819E-5</v>
      </c>
      <c r="AR38" s="129">
        <v>0.10394441584752064</v>
      </c>
      <c r="AS38" s="129">
        <v>-146.51913074557123</v>
      </c>
      <c r="AT38" s="201">
        <v>76977.847032519712</v>
      </c>
      <c r="AU38" s="200">
        <v>3.8233560680488095E-9</v>
      </c>
      <c r="AV38" s="129">
        <v>-3.2602739507169819E-5</v>
      </c>
      <c r="AW38" s="129">
        <v>0.10394441584752064</v>
      </c>
      <c r="AX38" s="129">
        <v>-146.51913074557123</v>
      </c>
      <c r="AY38" s="201">
        <v>76977.847032519712</v>
      </c>
    </row>
    <row r="39" spans="1:51" s="86" customFormat="1" x14ac:dyDescent="0.25">
      <c r="A39" s="95" t="s">
        <v>49</v>
      </c>
      <c r="B39" s="86" t="s">
        <v>37</v>
      </c>
      <c r="C39" s="86" t="s">
        <v>104</v>
      </c>
      <c r="D39" s="86" t="s">
        <v>44</v>
      </c>
      <c r="E39" s="99" t="s">
        <v>112</v>
      </c>
      <c r="F39" s="86" t="s">
        <v>15</v>
      </c>
      <c r="G39" s="86" t="s">
        <v>15</v>
      </c>
      <c r="H39" s="86" t="str">
        <f>Master_Table[[#This Row],[LES-Type]]&amp;"-"&amp;Master_Table[[#This Row],[Nominal CCT+CRI]]&amp;Master_Table[[#This Row],[Tech]]</f>
        <v>13mm-1830GA</v>
      </c>
      <c r="I39" s="86"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BXRV-DR-1830G-2000-A-13</v>
      </c>
      <c r="J39" s="86">
        <v>20</v>
      </c>
      <c r="K39" s="86">
        <v>600</v>
      </c>
      <c r="L39" s="86">
        <v>720</v>
      </c>
      <c r="M39" s="85">
        <v>2312</v>
      </c>
      <c r="N39" s="94">
        <f>Master_Table[[#This Row],[Typical Lumens]]/(Master_Table[[#This Row],[Typical Voltage]]*Master_Table[[#This Row],[Typical Current]]/1000)</f>
        <v>115.02487562189054</v>
      </c>
      <c r="O39" s="84">
        <v>33.5</v>
      </c>
      <c r="P39" s="87">
        <v>-12.1</v>
      </c>
      <c r="Q39" s="211">
        <v>-1.2470292830594369E-10</v>
      </c>
      <c r="R39" s="205">
        <v>2.2734000912019639E-7</v>
      </c>
      <c r="S39" s="205">
        <v>-1.5056316798366467E-4</v>
      </c>
      <c r="T39" s="205">
        <v>4.7938591121228488E-2</v>
      </c>
      <c r="U39" s="207">
        <v>26.000184370165666</v>
      </c>
      <c r="V39" s="208">
        <v>-3.5146633980966958E-14</v>
      </c>
      <c r="W39" s="81">
        <v>-1.0945690908647875E-9</v>
      </c>
      <c r="X39" s="128">
        <v>1.4378745804543308E-6</v>
      </c>
      <c r="Y39" s="128">
        <v>1.206389943137465E-3</v>
      </c>
      <c r="Z39" s="139">
        <v>-4.6920591708754728E-4</v>
      </c>
      <c r="AA39" s="213">
        <v>0</v>
      </c>
      <c r="AB39" s="83">
        <v>3.6387447940109519E-9</v>
      </c>
      <c r="AC39" s="128">
        <v>-4.3617292422584442E-6</v>
      </c>
      <c r="AD39" s="128">
        <v>-1.1442832912038402E-3</v>
      </c>
      <c r="AE39" s="143">
        <v>1.0312763076691012</v>
      </c>
      <c r="AF39" s="213">
        <v>-4.9340428280570947E-9</v>
      </c>
      <c r="AG39" s="83">
        <v>1.3485359084775033E-5</v>
      </c>
      <c r="AH39" s="83">
        <v>-1.3891052708130645E-2</v>
      </c>
      <c r="AI39" s="83">
        <v>6.769481995012705</v>
      </c>
      <c r="AJ39" s="147">
        <v>1662.5241972407612</v>
      </c>
      <c r="AK39" s="213">
        <v>-4.9340428280570947E-9</v>
      </c>
      <c r="AL39" s="83">
        <v>1.3485359084775033E-5</v>
      </c>
      <c r="AM39" s="83">
        <v>-1.3891052708130645E-2</v>
      </c>
      <c r="AN39" s="83">
        <v>6.769481995012705</v>
      </c>
      <c r="AO39" s="147">
        <v>1662.5241972407612</v>
      </c>
      <c r="AP39" s="229">
        <v>1.2329009218820054E-9</v>
      </c>
      <c r="AQ39" s="152">
        <v>-1.1071494506909973E-5</v>
      </c>
      <c r="AR39" s="152">
        <v>3.7102243833856907E-2</v>
      </c>
      <c r="AS39" s="152">
        <v>-54.741894128166471</v>
      </c>
      <c r="AT39" s="230">
        <v>29970.927138313134</v>
      </c>
      <c r="AU39" s="229">
        <v>1.2329009218820054E-9</v>
      </c>
      <c r="AV39" s="152">
        <v>-1.1071494506909973E-5</v>
      </c>
      <c r="AW39" s="152">
        <v>3.7102243833856907E-2</v>
      </c>
      <c r="AX39" s="152">
        <v>-54.741894128166471</v>
      </c>
      <c r="AY39" s="230">
        <v>29970.927138313134</v>
      </c>
    </row>
    <row r="40" spans="1:51" s="86" customFormat="1" ht="16.5" thickBot="1" x14ac:dyDescent="0.3">
      <c r="A40" s="95" t="s">
        <v>49</v>
      </c>
      <c r="B40" s="86" t="s">
        <v>37</v>
      </c>
      <c r="C40" s="86" t="s">
        <v>104</v>
      </c>
      <c r="D40" s="86" t="s">
        <v>96</v>
      </c>
      <c r="E40" s="99" t="s">
        <v>112</v>
      </c>
      <c r="F40" s="86" t="s">
        <v>15</v>
      </c>
      <c r="G40" s="86" t="s">
        <v>15</v>
      </c>
      <c r="H40" s="86" t="str">
        <f>Master_Table[[#This Row],[LES-Type]]&amp;"-"&amp;Master_Table[[#This Row],[Nominal CCT+CRI]]&amp;Master_Table[[#This Row],[Tech]]</f>
        <v>13mm-1830HA</v>
      </c>
      <c r="I40" s="86"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BXRV-DR-1830H-2000-A-13</v>
      </c>
      <c r="J40" s="86">
        <v>20</v>
      </c>
      <c r="K40" s="86">
        <v>600</v>
      </c>
      <c r="L40" s="86">
        <v>720</v>
      </c>
      <c r="M40" s="85">
        <v>2028</v>
      </c>
      <c r="N40" s="94">
        <f>Master_Table[[#This Row],[Typical Lumens]]/(Master_Table[[#This Row],[Typical Voltage]]*Master_Table[[#This Row],[Typical Current]]/1000)</f>
        <v>100.89552238805969</v>
      </c>
      <c r="O40" s="84">
        <v>33.5</v>
      </c>
      <c r="P40" s="87">
        <v>-12.1</v>
      </c>
      <c r="Q40" s="170">
        <v>-1.2470292830594369E-10</v>
      </c>
      <c r="R40" s="168">
        <v>2.2734000912019639E-7</v>
      </c>
      <c r="S40" s="168">
        <v>-1.5056316798366467E-4</v>
      </c>
      <c r="T40" s="168">
        <v>4.7938591121228488E-2</v>
      </c>
      <c r="U40" s="169">
        <v>26.000184370165666</v>
      </c>
      <c r="V40" s="210">
        <v>-3.5146633980966958E-14</v>
      </c>
      <c r="W40" s="140">
        <v>-1.0945690908647875E-9</v>
      </c>
      <c r="X40" s="167">
        <v>1.4378745804543308E-6</v>
      </c>
      <c r="Y40" s="167">
        <v>1.206389943137465E-3</v>
      </c>
      <c r="Z40" s="284">
        <v>-4.6920591708754728E-4</v>
      </c>
      <c r="AA40" s="214">
        <v>0</v>
      </c>
      <c r="AB40" s="144">
        <v>3.6387447940109519E-9</v>
      </c>
      <c r="AC40" s="167">
        <v>-4.3617292422584442E-6</v>
      </c>
      <c r="AD40" s="167">
        <v>-1.1442832912038402E-3</v>
      </c>
      <c r="AE40" s="233">
        <v>1.0312763076691012</v>
      </c>
      <c r="AF40" s="214">
        <v>-4.9340428280570947E-9</v>
      </c>
      <c r="AG40" s="144">
        <v>1.3485359084775033E-5</v>
      </c>
      <c r="AH40" s="144">
        <v>-1.3891052708130645E-2</v>
      </c>
      <c r="AI40" s="144">
        <v>6.769481995012705</v>
      </c>
      <c r="AJ40" s="148">
        <v>1662.5241972407612</v>
      </c>
      <c r="AK40" s="214">
        <v>-4.9340428280570947E-9</v>
      </c>
      <c r="AL40" s="144">
        <v>1.3485359084775033E-5</v>
      </c>
      <c r="AM40" s="144">
        <v>-1.3891052708130645E-2</v>
      </c>
      <c r="AN40" s="144">
        <v>6.769481995012705</v>
      </c>
      <c r="AO40" s="148">
        <v>1662.5241972407612</v>
      </c>
      <c r="AP40" s="200">
        <v>1.2329009218820054E-9</v>
      </c>
      <c r="AQ40" s="129">
        <v>-1.1071494506909973E-5</v>
      </c>
      <c r="AR40" s="129">
        <v>3.7102243833856907E-2</v>
      </c>
      <c r="AS40" s="129">
        <v>-54.741894128166471</v>
      </c>
      <c r="AT40" s="201">
        <v>29970.927138313134</v>
      </c>
      <c r="AU40" s="200">
        <v>1.2329009218820054E-9</v>
      </c>
      <c r="AV40" s="129">
        <v>-1.1071494506909973E-5</v>
      </c>
      <c r="AW40" s="129">
        <v>3.7102243833856907E-2</v>
      </c>
      <c r="AX40" s="129">
        <v>-54.741894128166471</v>
      </c>
      <c r="AY40" s="201">
        <v>29970.927138313134</v>
      </c>
    </row>
    <row r="41" spans="1:51" s="96" customFormat="1" x14ac:dyDescent="0.25">
      <c r="A41" s="120" t="s">
        <v>161</v>
      </c>
      <c r="B41" s="124" t="s">
        <v>37</v>
      </c>
      <c r="C41" s="124" t="s">
        <v>104</v>
      </c>
      <c r="D41" s="124" t="s">
        <v>92</v>
      </c>
      <c r="E41" s="125" t="s">
        <v>112</v>
      </c>
      <c r="F41" s="124" t="s">
        <v>15</v>
      </c>
      <c r="G41" s="124" t="s">
        <v>15</v>
      </c>
      <c r="H41" s="124" t="str">
        <f>Master_Table[[#This Row],[LES-Type]]&amp;"-"&amp;Master_Table[[#This Row],[Nominal CCT+CRI]]&amp;Master_Table[[#This Row],[Tech]]</f>
        <v>Vesta-SE 13mm-1827GA</v>
      </c>
      <c r="I41" s="124"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BXRV-DR-1827G-2000-A-13-SE</v>
      </c>
      <c r="J41" s="124">
        <v>20</v>
      </c>
      <c r="K41" s="126">
        <v>600</v>
      </c>
      <c r="L41" s="123">
        <v>720</v>
      </c>
      <c r="M41" s="133">
        <f>M37*0.96</f>
        <v>2026.56</v>
      </c>
      <c r="N41" s="134">
        <f>Master_Table[[#This Row],[Typical Lumens]]/(Master_Table[[#This Row],[Typical Voltage]]*Master_Table[[#This Row],[Typical Current]]/1000)</f>
        <v>100.82388059701492</v>
      </c>
      <c r="O41" s="135">
        <v>33.5</v>
      </c>
      <c r="P41" s="127">
        <v>-12.1</v>
      </c>
      <c r="Q41" s="208">
        <v>-1.2470292830594369E-10</v>
      </c>
      <c r="R41" s="206">
        <v>2.2734000912019639E-7</v>
      </c>
      <c r="S41" s="206">
        <v>-1.5056316798366467E-4</v>
      </c>
      <c r="T41" s="128">
        <v>4.7938591121228488E-2</v>
      </c>
      <c r="U41" s="151">
        <v>26.000184370165666</v>
      </c>
      <c r="V41" s="209">
        <v>-2.421962082336712E-13</v>
      </c>
      <c r="W41" s="137">
        <v>-7.4249550196922771E-10</v>
      </c>
      <c r="X41" s="136">
        <v>1.2355486467678302E-6</v>
      </c>
      <c r="Y41" s="136">
        <v>1.2505421601140371E-3</v>
      </c>
      <c r="Z41" s="138">
        <v>-3.2333080334528211E-3</v>
      </c>
      <c r="AA41" s="213">
        <v>0</v>
      </c>
      <c r="AB41" s="83">
        <v>3.6387447940109519E-9</v>
      </c>
      <c r="AC41" s="128">
        <v>-4.3617292422584442E-6</v>
      </c>
      <c r="AD41" s="128">
        <v>-1.1442832912038402E-3</v>
      </c>
      <c r="AE41" s="143">
        <v>1.0312763076691012</v>
      </c>
      <c r="AF41" s="215">
        <v>-3.7005321210428487E-9</v>
      </c>
      <c r="AG41" s="224">
        <v>1.0114019313581315E-5</v>
      </c>
      <c r="AH41" s="224">
        <v>-1.0418289531098003E-2</v>
      </c>
      <c r="AI41" s="224">
        <v>5.0771114962595325</v>
      </c>
      <c r="AJ41" s="225">
        <v>1696.8931479305706</v>
      </c>
      <c r="AK41" s="215">
        <v>-3.7005321210428487E-9</v>
      </c>
      <c r="AL41" s="224">
        <v>1.0114019313581315E-5</v>
      </c>
      <c r="AM41" s="224">
        <v>-1.0418289531098003E-2</v>
      </c>
      <c r="AN41" s="224">
        <v>5.0771114962595325</v>
      </c>
      <c r="AO41" s="225">
        <v>1696.8931479305706</v>
      </c>
      <c r="AP41" s="226">
        <v>3.8233560680488095E-9</v>
      </c>
      <c r="AQ41" s="227">
        <v>-3.2602739507169819E-5</v>
      </c>
      <c r="AR41" s="227">
        <v>0.10394441584752064</v>
      </c>
      <c r="AS41" s="227">
        <v>-146.51913074557123</v>
      </c>
      <c r="AT41" s="228">
        <v>76977.847032519712</v>
      </c>
      <c r="AU41" s="226">
        <v>3.8233560680488095E-9</v>
      </c>
      <c r="AV41" s="227">
        <v>-3.2602739507169819E-5</v>
      </c>
      <c r="AW41" s="227">
        <v>0.10394441584752064</v>
      </c>
      <c r="AX41" s="227">
        <v>-146.51913074557123</v>
      </c>
      <c r="AY41" s="228">
        <v>76977.847032519712</v>
      </c>
    </row>
    <row r="42" spans="1:51" s="86" customFormat="1" x14ac:dyDescent="0.25">
      <c r="A42" s="95" t="s">
        <v>161</v>
      </c>
      <c r="B42" s="86" t="s">
        <v>37</v>
      </c>
      <c r="C42" s="86" t="s">
        <v>104</v>
      </c>
      <c r="D42" s="86" t="s">
        <v>94</v>
      </c>
      <c r="E42" s="99" t="s">
        <v>112</v>
      </c>
      <c r="F42" s="86" t="s">
        <v>15</v>
      </c>
      <c r="G42" s="86" t="s">
        <v>15</v>
      </c>
      <c r="H42" s="86" t="str">
        <f>Master_Table[[#This Row],[LES-Type]]&amp;"-"&amp;Master_Table[[#This Row],[Nominal CCT+CRI]]&amp;Master_Table[[#This Row],[Tech]]</f>
        <v>Vesta-SE 13mm-1827HA</v>
      </c>
      <c r="I42" s="86"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BXRV-DR-1827H-2000-A-13-SE</v>
      </c>
      <c r="J42" s="86">
        <v>20</v>
      </c>
      <c r="K42" s="86">
        <v>600</v>
      </c>
      <c r="L42" s="87">
        <v>720</v>
      </c>
      <c r="M42" s="85">
        <f>M38*0.96</f>
        <v>1601.28</v>
      </c>
      <c r="N42" s="94">
        <f>Master_Table[[#This Row],[Typical Lumens]]/(Master_Table[[#This Row],[Typical Voltage]]*Master_Table[[#This Row],[Typical Current]]/1000)</f>
        <v>79.665671641791036</v>
      </c>
      <c r="O42" s="84">
        <v>33.5</v>
      </c>
      <c r="P42" s="87">
        <v>-12.1</v>
      </c>
      <c r="Q42" s="211">
        <v>-1.2470292830594369E-10</v>
      </c>
      <c r="R42" s="205">
        <v>2.2734000912019639E-7</v>
      </c>
      <c r="S42" s="205">
        <v>-1.5056316798366467E-4</v>
      </c>
      <c r="T42" s="205">
        <v>4.7938591121228488E-2</v>
      </c>
      <c r="U42" s="207">
        <v>26.000184370165666</v>
      </c>
      <c r="V42" s="208">
        <v>-2.421962082336712E-13</v>
      </c>
      <c r="W42" s="81">
        <v>-7.4249550196922771E-10</v>
      </c>
      <c r="X42" s="128">
        <v>1.2355486467678302E-6</v>
      </c>
      <c r="Y42" s="128">
        <v>1.2505421601140371E-3</v>
      </c>
      <c r="Z42" s="139">
        <v>-3.2333080334528211E-3</v>
      </c>
      <c r="AA42" s="213">
        <v>0</v>
      </c>
      <c r="AB42" s="83">
        <v>3.6387447940109519E-9</v>
      </c>
      <c r="AC42" s="128">
        <v>-4.3617292422584442E-6</v>
      </c>
      <c r="AD42" s="128">
        <v>-1.1442832912038402E-3</v>
      </c>
      <c r="AE42" s="143">
        <v>1.0312763076691012</v>
      </c>
      <c r="AF42" s="215">
        <v>-3.7005321210428487E-9</v>
      </c>
      <c r="AG42" s="83">
        <v>1.0114019313581315E-5</v>
      </c>
      <c r="AH42" s="83">
        <v>-1.0418289531098003E-2</v>
      </c>
      <c r="AI42" s="83">
        <v>5.0771114962595325</v>
      </c>
      <c r="AJ42" s="147">
        <v>1696.8931479305706</v>
      </c>
      <c r="AK42" s="215">
        <v>-3.7005321210428487E-9</v>
      </c>
      <c r="AL42" s="83">
        <v>1.0114019313581315E-5</v>
      </c>
      <c r="AM42" s="83">
        <v>-1.0418289531098003E-2</v>
      </c>
      <c r="AN42" s="83">
        <v>5.0771114962595325</v>
      </c>
      <c r="AO42" s="147">
        <v>1696.8931479305706</v>
      </c>
      <c r="AP42" s="200">
        <v>3.8233560680488095E-9</v>
      </c>
      <c r="AQ42" s="129">
        <v>-3.2602739507169819E-5</v>
      </c>
      <c r="AR42" s="129">
        <v>0.10394441584752064</v>
      </c>
      <c r="AS42" s="129">
        <v>-146.51913074557123</v>
      </c>
      <c r="AT42" s="201">
        <v>76977.847032519712</v>
      </c>
      <c r="AU42" s="200">
        <v>3.8233560680488095E-9</v>
      </c>
      <c r="AV42" s="129">
        <v>-3.2602739507169819E-5</v>
      </c>
      <c r="AW42" s="129">
        <v>0.10394441584752064</v>
      </c>
      <c r="AX42" s="129">
        <v>-146.51913074557123</v>
      </c>
      <c r="AY42" s="201">
        <v>76977.847032519712</v>
      </c>
    </row>
    <row r="43" spans="1:51" s="86" customFormat="1" x14ac:dyDescent="0.25">
      <c r="A43" s="95" t="s">
        <v>161</v>
      </c>
      <c r="B43" s="86" t="s">
        <v>37</v>
      </c>
      <c r="C43" s="86" t="s">
        <v>104</v>
      </c>
      <c r="D43" s="86" t="s">
        <v>44</v>
      </c>
      <c r="E43" s="99" t="s">
        <v>112</v>
      </c>
      <c r="F43" s="86" t="s">
        <v>15</v>
      </c>
      <c r="G43" s="86" t="s">
        <v>15</v>
      </c>
      <c r="H43" s="86" t="str">
        <f>Master_Table[[#This Row],[LES-Type]]&amp;"-"&amp;Master_Table[[#This Row],[Nominal CCT+CRI]]&amp;Master_Table[[#This Row],[Tech]]</f>
        <v>Vesta-SE 13mm-1830GA</v>
      </c>
      <c r="I43" s="86"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BXRV-DR-1830G-2000-A-13-SE</v>
      </c>
      <c r="J43" s="86">
        <v>20</v>
      </c>
      <c r="K43" s="86">
        <v>600</v>
      </c>
      <c r="L43" s="87">
        <v>720</v>
      </c>
      <c r="M43" s="85">
        <f>M39*0.96</f>
        <v>2219.52</v>
      </c>
      <c r="N43" s="94">
        <f>Master_Table[[#This Row],[Typical Lumens]]/(Master_Table[[#This Row],[Typical Voltage]]*Master_Table[[#This Row],[Typical Current]]/1000)</f>
        <v>110.42388059701491</v>
      </c>
      <c r="O43" s="84">
        <v>33.5</v>
      </c>
      <c r="P43" s="87">
        <v>-12.1</v>
      </c>
      <c r="Q43" s="211">
        <v>-1.2470292830594369E-10</v>
      </c>
      <c r="R43" s="205">
        <v>2.2734000912019639E-7</v>
      </c>
      <c r="S43" s="205">
        <v>-1.5056316798366467E-4</v>
      </c>
      <c r="T43" s="205">
        <v>4.7938591121228488E-2</v>
      </c>
      <c r="U43" s="207">
        <v>26.000184370165666</v>
      </c>
      <c r="V43" s="208">
        <v>-3.5146633980966958E-14</v>
      </c>
      <c r="W43" s="81">
        <v>-1.0945690908647875E-9</v>
      </c>
      <c r="X43" s="128">
        <v>1.4378745804543308E-6</v>
      </c>
      <c r="Y43" s="128">
        <v>1.206389943137465E-3</v>
      </c>
      <c r="Z43" s="139">
        <v>-4.6920591708754728E-4</v>
      </c>
      <c r="AA43" s="213">
        <v>0</v>
      </c>
      <c r="AB43" s="83">
        <v>3.6387447940109519E-9</v>
      </c>
      <c r="AC43" s="128">
        <v>-4.3617292422584442E-6</v>
      </c>
      <c r="AD43" s="128">
        <v>-1.1442832912038402E-3</v>
      </c>
      <c r="AE43" s="143">
        <v>1.0312763076691012</v>
      </c>
      <c r="AF43" s="213">
        <v>-4.9340428280570947E-9</v>
      </c>
      <c r="AG43" s="83">
        <v>1.3485359084775033E-5</v>
      </c>
      <c r="AH43" s="83">
        <v>-1.3891052708130645E-2</v>
      </c>
      <c r="AI43" s="83">
        <v>6.769481995012705</v>
      </c>
      <c r="AJ43" s="147">
        <v>1662.5241972407612</v>
      </c>
      <c r="AK43" s="213">
        <v>-4.9340428280570947E-9</v>
      </c>
      <c r="AL43" s="83">
        <v>1.3485359084775033E-5</v>
      </c>
      <c r="AM43" s="83">
        <v>-1.3891052708130645E-2</v>
      </c>
      <c r="AN43" s="83">
        <v>6.769481995012705</v>
      </c>
      <c r="AO43" s="147">
        <v>1662.5241972407612</v>
      </c>
      <c r="AP43" s="229">
        <v>1.2329009218820054E-9</v>
      </c>
      <c r="AQ43" s="152">
        <v>-1.1071494506909973E-5</v>
      </c>
      <c r="AR43" s="152">
        <v>3.7102243833856907E-2</v>
      </c>
      <c r="AS43" s="152">
        <v>-54.741894128166471</v>
      </c>
      <c r="AT43" s="230">
        <v>29970.927138313134</v>
      </c>
      <c r="AU43" s="229">
        <v>1.2329009218820054E-9</v>
      </c>
      <c r="AV43" s="152">
        <v>-1.1071494506909973E-5</v>
      </c>
      <c r="AW43" s="152">
        <v>3.7102243833856907E-2</v>
      </c>
      <c r="AX43" s="152">
        <v>-54.741894128166471</v>
      </c>
      <c r="AY43" s="230">
        <v>29970.927138313134</v>
      </c>
    </row>
    <row r="44" spans="1:51" s="86" customFormat="1" ht="16.5" thickBot="1" x14ac:dyDescent="0.3">
      <c r="A44" s="115" t="s">
        <v>161</v>
      </c>
      <c r="B44" s="89" t="s">
        <v>37</v>
      </c>
      <c r="C44" s="89" t="s">
        <v>104</v>
      </c>
      <c r="D44" s="89" t="s">
        <v>96</v>
      </c>
      <c r="E44" s="263" t="s">
        <v>112</v>
      </c>
      <c r="F44" s="89" t="s">
        <v>15</v>
      </c>
      <c r="G44" s="89" t="s">
        <v>15</v>
      </c>
      <c r="H44" s="89" t="str">
        <f>Master_Table[[#This Row],[LES-Type]]&amp;"-"&amp;Master_Table[[#This Row],[Nominal CCT+CRI]]&amp;Master_Table[[#This Row],[Tech]]</f>
        <v>Vesta-SE 13mm-1830HA</v>
      </c>
      <c r="I44" s="89"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BXRV-DR-1830H-2000-A-13-SE</v>
      </c>
      <c r="J44" s="89">
        <v>20</v>
      </c>
      <c r="K44" s="89">
        <v>600</v>
      </c>
      <c r="L44" s="90">
        <v>720</v>
      </c>
      <c r="M44" s="88">
        <f>M40*0.96</f>
        <v>1946.8799999999999</v>
      </c>
      <c r="N44" s="132">
        <f>Master_Table[[#This Row],[Typical Lumens]]/(Master_Table[[#This Row],[Typical Voltage]]*Master_Table[[#This Row],[Typical Current]]/1000)</f>
        <v>96.859701492537297</v>
      </c>
      <c r="O44" s="145">
        <v>33.5</v>
      </c>
      <c r="P44" s="90">
        <v>-12.1</v>
      </c>
      <c r="Q44" s="170">
        <v>-1.2470292830594369E-10</v>
      </c>
      <c r="R44" s="168">
        <v>2.2734000912019639E-7</v>
      </c>
      <c r="S44" s="168">
        <v>-1.5056316798366467E-4</v>
      </c>
      <c r="T44" s="168">
        <v>4.7938591121228488E-2</v>
      </c>
      <c r="U44" s="169">
        <v>26.000184370165666</v>
      </c>
      <c r="V44" s="210">
        <v>-3.5146633980966958E-14</v>
      </c>
      <c r="W44" s="140">
        <v>-1.0945690908647875E-9</v>
      </c>
      <c r="X44" s="167">
        <v>1.4378745804543308E-6</v>
      </c>
      <c r="Y44" s="167">
        <v>1.206389943137465E-3</v>
      </c>
      <c r="Z44" s="284">
        <v>-4.6920591708754728E-4</v>
      </c>
      <c r="AA44" s="213">
        <v>0</v>
      </c>
      <c r="AB44" s="83">
        <v>3.6387447940109519E-9</v>
      </c>
      <c r="AC44" s="128">
        <v>-4.3617292422584442E-6</v>
      </c>
      <c r="AD44" s="128">
        <v>-1.1442832912038402E-3</v>
      </c>
      <c r="AE44" s="143">
        <v>1.0312763076691012</v>
      </c>
      <c r="AF44" s="214">
        <v>-4.9340428280570947E-9</v>
      </c>
      <c r="AG44" s="144">
        <v>1.3485359084775033E-5</v>
      </c>
      <c r="AH44" s="144">
        <v>-1.3891052708130645E-2</v>
      </c>
      <c r="AI44" s="144">
        <v>6.769481995012705</v>
      </c>
      <c r="AJ44" s="148">
        <v>1662.5241972407612</v>
      </c>
      <c r="AK44" s="214">
        <v>-4.9340428280570947E-9</v>
      </c>
      <c r="AL44" s="144">
        <v>1.3485359084775033E-5</v>
      </c>
      <c r="AM44" s="144">
        <v>-1.3891052708130645E-2</v>
      </c>
      <c r="AN44" s="144">
        <v>6.769481995012705</v>
      </c>
      <c r="AO44" s="148">
        <v>1662.5241972407612</v>
      </c>
      <c r="AP44" s="200">
        <v>1.2329009218820054E-9</v>
      </c>
      <c r="AQ44" s="129">
        <v>-1.1071494506909973E-5</v>
      </c>
      <c r="AR44" s="129">
        <v>3.7102243833856907E-2</v>
      </c>
      <c r="AS44" s="129">
        <v>-54.741894128166471</v>
      </c>
      <c r="AT44" s="201">
        <v>29970.927138313134</v>
      </c>
      <c r="AU44" s="200">
        <v>1.2329009218820054E-9</v>
      </c>
      <c r="AV44" s="129">
        <v>-1.1071494506909973E-5</v>
      </c>
      <c r="AW44" s="129">
        <v>3.7102243833856907E-2</v>
      </c>
      <c r="AX44" s="129">
        <v>-54.741894128166471</v>
      </c>
      <c r="AY44" s="201">
        <v>29970.927138313134</v>
      </c>
    </row>
    <row r="45" spans="1:51" x14ac:dyDescent="0.25">
      <c r="A45" s="130" t="s">
        <v>50</v>
      </c>
      <c r="B45" s="121" t="s">
        <v>37</v>
      </c>
      <c r="C45" s="124" t="s">
        <v>104</v>
      </c>
      <c r="D45" s="124" t="s">
        <v>92</v>
      </c>
      <c r="E45" s="121">
        <v>3000</v>
      </c>
      <c r="F45" s="121" t="s">
        <v>15</v>
      </c>
      <c r="G45" s="121" t="s">
        <v>15</v>
      </c>
      <c r="H45" s="122" t="str">
        <f>Master_Table[[#This Row],[LES-Type]]&amp;"-"&amp;Master_Table[[#This Row],[Nominal CCT+CRI]]&amp;Master_Table[[#This Row],[Tech]]</f>
        <v>15mm-1827GA</v>
      </c>
      <c r="I45" s="122"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BXRV-DR-1827G-3000-A-13</v>
      </c>
      <c r="J45" s="122">
        <v>20</v>
      </c>
      <c r="K45" s="121">
        <v>950</v>
      </c>
      <c r="L45" s="123">
        <v>1050</v>
      </c>
      <c r="M45" s="130">
        <v>3401</v>
      </c>
      <c r="N45" s="131">
        <f>Master_Table[[#This Row],[Typical Lumens]]/(Master_Table[[#This Row],[Typical Voltage]]*Master_Table[[#This Row],[Typical Current]]/1000)</f>
        <v>104.98533724340174</v>
      </c>
      <c r="O45" s="121">
        <v>34.1</v>
      </c>
      <c r="P45" s="196">
        <v>-15</v>
      </c>
      <c r="Q45" s="208">
        <v>-3.5422555345437313E-11</v>
      </c>
      <c r="R45" s="206">
        <v>9.4330500076400081E-8</v>
      </c>
      <c r="S45" s="206">
        <v>-9.006243448252024E-5</v>
      </c>
      <c r="T45" s="128">
        <v>3.9711545730505921E-2</v>
      </c>
      <c r="U45" s="151">
        <v>25.6416864529936</v>
      </c>
      <c r="V45" s="130">
        <v>-1.9231261965129578E-14</v>
      </c>
      <c r="W45" s="149">
        <v>-3.6051752471271521E-10</v>
      </c>
      <c r="X45" s="149">
        <v>7.0901461413326134E-7</v>
      </c>
      <c r="Y45" s="149">
        <v>7.2224127080209612E-4</v>
      </c>
      <c r="Z45" s="123">
        <v>-1.1997399551094169E-3</v>
      </c>
      <c r="AA45" s="130">
        <v>0</v>
      </c>
      <c r="AB45" s="149">
        <v>1.0278364914575743E-9</v>
      </c>
      <c r="AC45" s="149">
        <v>-4.2139290615143064E-6</v>
      </c>
      <c r="AD45" s="149">
        <v>-9.6864313722270525E-4</v>
      </c>
      <c r="AE45" s="150">
        <v>1.026833724148835</v>
      </c>
      <c r="AF45" s="212">
        <v>2.4011426098450005E-9</v>
      </c>
      <c r="AG45" s="142">
        <v>-4.8270090180670596E-6</v>
      </c>
      <c r="AH45" s="142">
        <v>1.9416149062857983E-3</v>
      </c>
      <c r="AI45" s="142">
        <v>1.437673900589306</v>
      </c>
      <c r="AJ45" s="146">
        <v>1748.9599070558093</v>
      </c>
      <c r="AK45" s="212">
        <v>2.4011426098450005E-9</v>
      </c>
      <c r="AL45" s="142">
        <v>-4.8270090180670596E-6</v>
      </c>
      <c r="AM45" s="142">
        <v>1.9416149062857983E-3</v>
      </c>
      <c r="AN45" s="142">
        <v>1.437673900589306</v>
      </c>
      <c r="AO45" s="146">
        <v>1748.9599070558093</v>
      </c>
      <c r="AP45" s="212">
        <v>1.9007723670250783E-9</v>
      </c>
      <c r="AQ45" s="142">
        <v>-1.4449568915861593E-5</v>
      </c>
      <c r="AR45" s="142">
        <v>4.0374849957779499E-2</v>
      </c>
      <c r="AS45" s="142">
        <v>-48.342238102925918</v>
      </c>
      <c r="AT45" s="146">
        <v>20537.464413937654</v>
      </c>
      <c r="AU45" s="212">
        <v>1.9007723670250783E-9</v>
      </c>
      <c r="AV45" s="142">
        <v>-1.4449568915861593E-5</v>
      </c>
      <c r="AW45" s="142">
        <v>4.0374849957779499E-2</v>
      </c>
      <c r="AX45" s="142">
        <v>-48.342238102925918</v>
      </c>
      <c r="AY45" s="146">
        <v>20537.464413937654</v>
      </c>
    </row>
    <row r="46" spans="1:51" x14ac:dyDescent="0.25">
      <c r="A46" s="85" t="s">
        <v>50</v>
      </c>
      <c r="B46" s="86" t="s">
        <v>37</v>
      </c>
      <c r="C46" s="86" t="s">
        <v>104</v>
      </c>
      <c r="D46" s="86" t="s">
        <v>94</v>
      </c>
      <c r="E46" s="86">
        <v>3000</v>
      </c>
      <c r="F46" s="86" t="s">
        <v>15</v>
      </c>
      <c r="G46" s="86" t="s">
        <v>15</v>
      </c>
      <c r="H46" s="118" t="str">
        <f>Master_Table[[#This Row],[LES-Type]]&amp;"-"&amp;Master_Table[[#This Row],[Nominal CCT+CRI]]&amp;Master_Table[[#This Row],[Tech]]</f>
        <v>15mm-1827HA</v>
      </c>
      <c r="I46"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BXRV-DR-1827H-3000-A-13</v>
      </c>
      <c r="J46" s="118">
        <v>20</v>
      </c>
      <c r="K46" s="86">
        <v>950</v>
      </c>
      <c r="L46" s="87">
        <v>1050</v>
      </c>
      <c r="M46" s="85">
        <v>2689</v>
      </c>
      <c r="N46" s="94">
        <f>Master_Table[[#This Row],[Typical Lumens]]/(Master_Table[[#This Row],[Typical Voltage]]*Master_Table[[#This Row],[Typical Current]]/1000)</f>
        <v>83.006636826670771</v>
      </c>
      <c r="O46" s="86">
        <v>34.1</v>
      </c>
      <c r="P46" s="197">
        <v>-15</v>
      </c>
      <c r="Q46" s="211">
        <v>-3.5422555345437313E-11</v>
      </c>
      <c r="R46" s="205">
        <v>9.4330500076400081E-8</v>
      </c>
      <c r="S46" s="205">
        <v>-9.006243448252024E-5</v>
      </c>
      <c r="T46" s="205">
        <v>3.9711545730505921E-2</v>
      </c>
      <c r="U46" s="207">
        <v>25.6416864529936</v>
      </c>
      <c r="V46" s="85">
        <v>-1.9231261965129578E-14</v>
      </c>
      <c r="W46" s="86">
        <v>-3.6051752471271521E-10</v>
      </c>
      <c r="X46" s="86">
        <v>7.0901461413326134E-7</v>
      </c>
      <c r="Y46" s="86">
        <v>7.2224127080209612E-4</v>
      </c>
      <c r="Z46" s="87">
        <v>-1.1997399551094169E-3</v>
      </c>
      <c r="AA46" s="85">
        <v>0</v>
      </c>
      <c r="AB46" s="86">
        <v>1.0278364914575743E-9</v>
      </c>
      <c r="AC46" s="86">
        <v>-4.2139290615143064E-6</v>
      </c>
      <c r="AD46" s="86">
        <v>-9.6864313722270525E-4</v>
      </c>
      <c r="AE46" s="87">
        <v>1.026833724148835</v>
      </c>
      <c r="AF46" s="213">
        <v>2.4011426098450005E-9</v>
      </c>
      <c r="AG46" s="83">
        <v>-4.8270090180670596E-6</v>
      </c>
      <c r="AH46" s="83">
        <v>1.9416149062857983E-3</v>
      </c>
      <c r="AI46" s="83">
        <v>1.437673900589306</v>
      </c>
      <c r="AJ46" s="147">
        <v>1748.9599070558093</v>
      </c>
      <c r="AK46" s="213">
        <v>2.4011426098450005E-9</v>
      </c>
      <c r="AL46" s="83">
        <v>-4.8270090180670596E-6</v>
      </c>
      <c r="AM46" s="83">
        <v>1.9416149062857983E-3</v>
      </c>
      <c r="AN46" s="83">
        <v>1.437673900589306</v>
      </c>
      <c r="AO46" s="147">
        <v>1748.9599070558093</v>
      </c>
      <c r="AP46" s="213">
        <v>1.9007723670250783E-9</v>
      </c>
      <c r="AQ46" s="83">
        <v>-1.4449568915861593E-5</v>
      </c>
      <c r="AR46" s="83">
        <v>4.0374849957779499E-2</v>
      </c>
      <c r="AS46" s="83">
        <v>-48.342238102925918</v>
      </c>
      <c r="AT46" s="147">
        <v>20537.464413937654</v>
      </c>
      <c r="AU46" s="213">
        <v>1.9007723670250783E-9</v>
      </c>
      <c r="AV46" s="83">
        <v>-1.4449568915861593E-5</v>
      </c>
      <c r="AW46" s="83">
        <v>4.0374849957779499E-2</v>
      </c>
      <c r="AX46" s="83">
        <v>-48.342238102925918</v>
      </c>
      <c r="AY46" s="147">
        <v>20537.464413937654</v>
      </c>
    </row>
    <row r="47" spans="1:51" x14ac:dyDescent="0.25">
      <c r="A47" s="85" t="s">
        <v>50</v>
      </c>
      <c r="B47" s="86" t="s">
        <v>37</v>
      </c>
      <c r="C47" s="86" t="s">
        <v>104</v>
      </c>
      <c r="D47" s="86" t="s">
        <v>44</v>
      </c>
      <c r="E47" s="86">
        <v>3000</v>
      </c>
      <c r="F47" s="86" t="s">
        <v>15</v>
      </c>
      <c r="G47" s="86" t="s">
        <v>15</v>
      </c>
      <c r="H47" s="118" t="str">
        <f>Master_Table[[#This Row],[LES-Type]]&amp;"-"&amp;Master_Table[[#This Row],[Nominal CCT+CRI]]&amp;Master_Table[[#This Row],[Tech]]</f>
        <v>15mm-1830GA</v>
      </c>
      <c r="I47"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BXRV-DR-1830G-3000-A-13</v>
      </c>
      <c r="J47" s="118">
        <v>20</v>
      </c>
      <c r="K47" s="86">
        <v>950</v>
      </c>
      <c r="L47" s="87">
        <v>1050</v>
      </c>
      <c r="M47" s="85">
        <v>3725</v>
      </c>
      <c r="N47" s="94">
        <f>Master_Table[[#This Row],[Typical Lumens]]/(Master_Table[[#This Row],[Typical Voltage]]*Master_Table[[#This Row],[Typical Current]]/1000)</f>
        <v>114.98688069146472</v>
      </c>
      <c r="O47" s="86">
        <v>34.1</v>
      </c>
      <c r="P47" s="197">
        <v>-15</v>
      </c>
      <c r="Q47" s="211">
        <v>-3.5422555345437313E-11</v>
      </c>
      <c r="R47" s="205">
        <v>9.4330500076400081E-8</v>
      </c>
      <c r="S47" s="205">
        <v>-9.006243448252024E-5</v>
      </c>
      <c r="T47" s="205">
        <v>3.9711545730505921E-2</v>
      </c>
      <c r="U47" s="207">
        <v>25.6416864529936</v>
      </c>
      <c r="V47" s="85">
        <v>5.7649479149342787E-15</v>
      </c>
      <c r="W47" s="86">
        <v>-4.2283240437660214E-10</v>
      </c>
      <c r="X47" s="86">
        <v>7.6174676622829928E-7</v>
      </c>
      <c r="Y47" s="86">
        <v>7.0524054563893322E-4</v>
      </c>
      <c r="Z47" s="87">
        <v>3.5964557943227475E-4</v>
      </c>
      <c r="AA47" s="85">
        <v>0</v>
      </c>
      <c r="AB47" s="86">
        <v>1.0278364914575743E-9</v>
      </c>
      <c r="AC47" s="86">
        <v>-4.2139290615143064E-6</v>
      </c>
      <c r="AD47" s="86">
        <v>-9.6864313722270525E-4</v>
      </c>
      <c r="AE47" s="87">
        <v>1.026833724148835</v>
      </c>
      <c r="AF47" s="213">
        <v>3.2015234797933415E-9</v>
      </c>
      <c r="AG47" s="83">
        <v>-6.4360120240894249E-6</v>
      </c>
      <c r="AH47" s="83">
        <v>2.5888198750477352E-3</v>
      </c>
      <c r="AI47" s="83">
        <v>1.9168985341190756</v>
      </c>
      <c r="AJ47" s="147">
        <v>1731.9465427410789</v>
      </c>
      <c r="AK47" s="213">
        <v>3.2015234797933415E-9</v>
      </c>
      <c r="AL47" s="83">
        <v>-6.4360120240894249E-6</v>
      </c>
      <c r="AM47" s="83">
        <v>2.5888198750477352E-3</v>
      </c>
      <c r="AN47" s="83">
        <v>1.9168985341190756</v>
      </c>
      <c r="AO47" s="147">
        <v>1731.9465427410789</v>
      </c>
      <c r="AP47" s="229">
        <v>6.1294921640691403E-10</v>
      </c>
      <c r="AQ47" s="152">
        <v>-4.758745703186942E-6</v>
      </c>
      <c r="AR47" s="152">
        <v>1.3398929304573081E-2</v>
      </c>
      <c r="AS47" s="152">
        <v>-15.607312162333081</v>
      </c>
      <c r="AT47" s="230">
        <v>6018.8748339394515</v>
      </c>
      <c r="AU47" s="229">
        <v>6.1294921640691403E-10</v>
      </c>
      <c r="AV47" s="152">
        <v>-4.758745703186942E-6</v>
      </c>
      <c r="AW47" s="152">
        <v>1.3398929304573081E-2</v>
      </c>
      <c r="AX47" s="152">
        <v>-15.607312162333081</v>
      </c>
      <c r="AY47" s="230">
        <v>6018.8748339394515</v>
      </c>
    </row>
    <row r="48" spans="1:51" ht="16.5" thickBot="1" x14ac:dyDescent="0.3">
      <c r="A48" s="88" t="s">
        <v>50</v>
      </c>
      <c r="B48" s="89" t="s">
        <v>37</v>
      </c>
      <c r="C48" s="89" t="s">
        <v>104</v>
      </c>
      <c r="D48" s="89" t="s">
        <v>96</v>
      </c>
      <c r="E48" s="89">
        <v>3000</v>
      </c>
      <c r="F48" s="89" t="s">
        <v>15</v>
      </c>
      <c r="G48" s="89" t="s">
        <v>15</v>
      </c>
      <c r="H48" s="119" t="str">
        <f>Master_Table[[#This Row],[LES-Type]]&amp;"-"&amp;Master_Table[[#This Row],[Nominal CCT+CRI]]&amp;Master_Table[[#This Row],[Tech]]</f>
        <v>15mm-1830HA</v>
      </c>
      <c r="I48" s="119"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BXRV-DR-1830H-3000-A-13</v>
      </c>
      <c r="J48" s="119">
        <v>20</v>
      </c>
      <c r="K48" s="89">
        <v>950</v>
      </c>
      <c r="L48" s="90">
        <v>1050</v>
      </c>
      <c r="M48" s="88">
        <v>3300</v>
      </c>
      <c r="N48" s="132">
        <f>Master_Table[[#This Row],[Typical Lumens]]/(Master_Table[[#This Row],[Typical Voltage]]*Master_Table[[#This Row],[Typical Current]]/1000)</f>
        <v>101.86757215619693</v>
      </c>
      <c r="O48" s="89">
        <v>34.1</v>
      </c>
      <c r="P48" s="198">
        <v>-15</v>
      </c>
      <c r="Q48" s="170">
        <v>-3.5422555345437313E-11</v>
      </c>
      <c r="R48" s="168">
        <v>9.4330500076400081E-8</v>
      </c>
      <c r="S48" s="168">
        <v>-9.006243448252024E-5</v>
      </c>
      <c r="T48" s="168">
        <v>3.9711545730505921E-2</v>
      </c>
      <c r="U48" s="169">
        <v>25.6416864529936</v>
      </c>
      <c r="V48" s="88">
        <v>5.7649479149342787E-15</v>
      </c>
      <c r="W48" s="89">
        <v>-4.2283240437660214E-10</v>
      </c>
      <c r="X48" s="89">
        <v>7.6174676622829928E-7</v>
      </c>
      <c r="Y48" s="89">
        <v>7.0524054563893322E-4</v>
      </c>
      <c r="Z48" s="90">
        <v>3.5964557943227475E-4</v>
      </c>
      <c r="AA48" s="88">
        <v>0</v>
      </c>
      <c r="AB48" s="89">
        <v>1.0278364914575743E-9</v>
      </c>
      <c r="AC48" s="89">
        <v>-4.2139290615143064E-6</v>
      </c>
      <c r="AD48" s="89">
        <v>-9.6864313722270525E-4</v>
      </c>
      <c r="AE48" s="90">
        <v>1.026833724148835</v>
      </c>
      <c r="AF48" s="214">
        <v>3.2015234797933415E-9</v>
      </c>
      <c r="AG48" s="144">
        <v>-6.4360120240894249E-6</v>
      </c>
      <c r="AH48" s="144">
        <v>2.5888198750477352E-3</v>
      </c>
      <c r="AI48" s="144">
        <v>1.9168985341190756</v>
      </c>
      <c r="AJ48" s="148">
        <v>1731.9465427410789</v>
      </c>
      <c r="AK48" s="214">
        <v>3.2015234797933415E-9</v>
      </c>
      <c r="AL48" s="144">
        <v>-6.4360120240894249E-6</v>
      </c>
      <c r="AM48" s="144">
        <v>2.5888198750477352E-3</v>
      </c>
      <c r="AN48" s="144">
        <v>1.9168985341190756</v>
      </c>
      <c r="AO48" s="148">
        <v>1731.9465427410789</v>
      </c>
      <c r="AP48" s="202">
        <v>6.1294921640691403E-10</v>
      </c>
      <c r="AQ48" s="203">
        <v>-4.758745703186942E-6</v>
      </c>
      <c r="AR48" s="203">
        <v>1.3398929304573081E-2</v>
      </c>
      <c r="AS48" s="203">
        <v>-15.607312162333081</v>
      </c>
      <c r="AT48" s="204">
        <v>6018.8748339394515</v>
      </c>
      <c r="AU48" s="202">
        <v>6.1294921640691403E-10</v>
      </c>
      <c r="AV48" s="203">
        <v>-4.758745703186942E-6</v>
      </c>
      <c r="AW48" s="203">
        <v>1.3398929304573081E-2</v>
      </c>
      <c r="AX48" s="203">
        <v>-15.607312162333081</v>
      </c>
      <c r="AY48" s="204">
        <v>6018.8748339394515</v>
      </c>
    </row>
    <row r="49" spans="1:51" x14ac:dyDescent="0.25">
      <c r="A49" s="130" t="s">
        <v>162</v>
      </c>
      <c r="B49" s="121" t="s">
        <v>37</v>
      </c>
      <c r="C49" s="124" t="s">
        <v>104</v>
      </c>
      <c r="D49" s="124" t="s">
        <v>92</v>
      </c>
      <c r="E49" s="121">
        <v>3000</v>
      </c>
      <c r="F49" s="121" t="s">
        <v>15</v>
      </c>
      <c r="G49" s="121" t="s">
        <v>15</v>
      </c>
      <c r="H49" s="122" t="str">
        <f>Master_Table[[#This Row],[LES-Type]]&amp;"-"&amp;Master_Table[[#This Row],[Nominal CCT+CRI]]&amp;Master_Table[[#This Row],[Tech]]</f>
        <v>Vesta-SE 15mm-1827GA</v>
      </c>
      <c r="I49" s="122"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BXRV-DR-1827G-3000-A-13-SE</v>
      </c>
      <c r="J49" s="122">
        <v>20</v>
      </c>
      <c r="K49" s="121">
        <v>950</v>
      </c>
      <c r="L49" s="123">
        <v>1050</v>
      </c>
      <c r="M49" s="130">
        <f>M45*0.96</f>
        <v>3264.96</v>
      </c>
      <c r="N49" s="131">
        <f>Master_Table[[#This Row],[Typical Lumens]]/(Master_Table[[#This Row],[Typical Voltage]]*Master_Table[[#This Row],[Typical Current]]/1000)</f>
        <v>100.78592375366568</v>
      </c>
      <c r="O49" s="121">
        <v>34.1</v>
      </c>
      <c r="P49" s="196">
        <v>-15</v>
      </c>
      <c r="Q49" s="208">
        <v>-3.5422555345437313E-11</v>
      </c>
      <c r="R49" s="206">
        <v>9.4330500076400081E-8</v>
      </c>
      <c r="S49" s="206">
        <v>-9.006243448252024E-5</v>
      </c>
      <c r="T49" s="128">
        <v>3.9711545730505921E-2</v>
      </c>
      <c r="U49" s="151">
        <v>25.6416864529936</v>
      </c>
      <c r="V49" s="130">
        <v>-1.9231261965129578E-14</v>
      </c>
      <c r="W49" s="149">
        <v>-3.6051752471271521E-10</v>
      </c>
      <c r="X49" s="149">
        <v>7.0901461413326134E-7</v>
      </c>
      <c r="Y49" s="149">
        <v>7.2224127080209612E-4</v>
      </c>
      <c r="Z49" s="123">
        <v>-1.1997399551094169E-3</v>
      </c>
      <c r="AA49" s="130">
        <v>0</v>
      </c>
      <c r="AB49" s="149">
        <v>1.0278364914575743E-9</v>
      </c>
      <c r="AC49" s="149">
        <v>-4.2139290615143064E-6</v>
      </c>
      <c r="AD49" s="149">
        <v>-9.6864313722270525E-4</v>
      </c>
      <c r="AE49" s="150">
        <v>1.026833724148835</v>
      </c>
      <c r="AF49" s="212">
        <v>2.4011426098450005E-9</v>
      </c>
      <c r="AG49" s="142">
        <v>-4.8270090180670596E-6</v>
      </c>
      <c r="AH49" s="142">
        <v>1.9416149062857983E-3</v>
      </c>
      <c r="AI49" s="142">
        <v>1.437673900589306</v>
      </c>
      <c r="AJ49" s="146">
        <v>1748.9599070558093</v>
      </c>
      <c r="AK49" s="212">
        <v>2.4011426098450005E-9</v>
      </c>
      <c r="AL49" s="142">
        <v>-4.8270090180670596E-6</v>
      </c>
      <c r="AM49" s="142">
        <v>1.9416149062857983E-3</v>
      </c>
      <c r="AN49" s="142">
        <v>1.437673900589306</v>
      </c>
      <c r="AO49" s="146">
        <v>1748.9599070558093</v>
      </c>
      <c r="AP49" s="212">
        <v>1.9007723670250783E-9</v>
      </c>
      <c r="AQ49" s="142">
        <v>-1.4449568915861593E-5</v>
      </c>
      <c r="AR49" s="142">
        <v>4.0374849957779499E-2</v>
      </c>
      <c r="AS49" s="142">
        <v>-48.342238102925918</v>
      </c>
      <c r="AT49" s="146">
        <v>20537.464413937654</v>
      </c>
      <c r="AU49" s="212">
        <v>1.9007723670250783E-9</v>
      </c>
      <c r="AV49" s="142">
        <v>-1.4449568915861593E-5</v>
      </c>
      <c r="AW49" s="142">
        <v>4.0374849957779499E-2</v>
      </c>
      <c r="AX49" s="142">
        <v>-48.342238102925918</v>
      </c>
      <c r="AY49" s="146">
        <v>20537.464413937654</v>
      </c>
    </row>
    <row r="50" spans="1:51" x14ac:dyDescent="0.25">
      <c r="A50" s="85" t="s">
        <v>162</v>
      </c>
      <c r="B50" s="86" t="s">
        <v>37</v>
      </c>
      <c r="C50" s="86" t="s">
        <v>104</v>
      </c>
      <c r="D50" s="86" t="s">
        <v>94</v>
      </c>
      <c r="E50" s="86">
        <v>3000</v>
      </c>
      <c r="F50" s="86" t="s">
        <v>15</v>
      </c>
      <c r="G50" s="86" t="s">
        <v>15</v>
      </c>
      <c r="H50" s="118" t="str">
        <f>Master_Table[[#This Row],[LES-Type]]&amp;"-"&amp;Master_Table[[#This Row],[Nominal CCT+CRI]]&amp;Master_Table[[#This Row],[Tech]]</f>
        <v>Vesta-SE 15mm-1827HA</v>
      </c>
      <c r="I50"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BXRV-DR-1827H-3000-A-13-SE</v>
      </c>
      <c r="J50" s="118">
        <v>20</v>
      </c>
      <c r="K50" s="86">
        <v>950</v>
      </c>
      <c r="L50" s="87">
        <v>1050</v>
      </c>
      <c r="M50" s="85">
        <f>M46*0.96</f>
        <v>2581.44</v>
      </c>
      <c r="N50" s="94">
        <f>Master_Table[[#This Row],[Typical Lumens]]/(Master_Table[[#This Row],[Typical Voltage]]*Master_Table[[#This Row],[Typical Current]]/1000)</f>
        <v>79.686371353603946</v>
      </c>
      <c r="O50" s="86">
        <v>34.1</v>
      </c>
      <c r="P50" s="197">
        <v>-15</v>
      </c>
      <c r="Q50" s="211">
        <v>-3.5422555345437313E-11</v>
      </c>
      <c r="R50" s="205">
        <v>9.4330500076400081E-8</v>
      </c>
      <c r="S50" s="205">
        <v>-9.006243448252024E-5</v>
      </c>
      <c r="T50" s="205">
        <v>3.9711545730505921E-2</v>
      </c>
      <c r="U50" s="207">
        <v>25.6416864529936</v>
      </c>
      <c r="V50" s="85">
        <v>-1.9231261965129578E-14</v>
      </c>
      <c r="W50" s="86">
        <v>-3.6051752471271521E-10</v>
      </c>
      <c r="X50" s="86">
        <v>7.0901461413326134E-7</v>
      </c>
      <c r="Y50" s="86">
        <v>7.2224127080209612E-4</v>
      </c>
      <c r="Z50" s="87">
        <v>-1.1997399551094169E-3</v>
      </c>
      <c r="AA50" s="85">
        <v>0</v>
      </c>
      <c r="AB50" s="86">
        <v>1.0278364914575743E-9</v>
      </c>
      <c r="AC50" s="86">
        <v>-4.2139290615143064E-6</v>
      </c>
      <c r="AD50" s="86">
        <v>-9.6864313722270525E-4</v>
      </c>
      <c r="AE50" s="87">
        <v>1.026833724148835</v>
      </c>
      <c r="AF50" s="213">
        <v>2.4011426098450005E-9</v>
      </c>
      <c r="AG50" s="83">
        <v>-4.8270090180670596E-6</v>
      </c>
      <c r="AH50" s="83">
        <v>1.9416149062857983E-3</v>
      </c>
      <c r="AI50" s="83">
        <v>1.437673900589306</v>
      </c>
      <c r="AJ50" s="147">
        <v>1748.9599070558093</v>
      </c>
      <c r="AK50" s="213">
        <v>2.4011426098450005E-9</v>
      </c>
      <c r="AL50" s="83">
        <v>-4.8270090180670596E-6</v>
      </c>
      <c r="AM50" s="83">
        <v>1.9416149062857983E-3</v>
      </c>
      <c r="AN50" s="83">
        <v>1.437673900589306</v>
      </c>
      <c r="AO50" s="147">
        <v>1748.9599070558093</v>
      </c>
      <c r="AP50" s="213">
        <v>1.9007723670250783E-9</v>
      </c>
      <c r="AQ50" s="83">
        <v>-1.4449568915861593E-5</v>
      </c>
      <c r="AR50" s="83">
        <v>4.0374849957779499E-2</v>
      </c>
      <c r="AS50" s="83">
        <v>-48.342238102925918</v>
      </c>
      <c r="AT50" s="147">
        <v>20537.464413937654</v>
      </c>
      <c r="AU50" s="213">
        <v>1.9007723670250783E-9</v>
      </c>
      <c r="AV50" s="83">
        <v>-1.4449568915861593E-5</v>
      </c>
      <c r="AW50" s="83">
        <v>4.0374849957779499E-2</v>
      </c>
      <c r="AX50" s="83">
        <v>-48.342238102925918</v>
      </c>
      <c r="AY50" s="147">
        <v>20537.464413937654</v>
      </c>
    </row>
    <row r="51" spans="1:51" x14ac:dyDescent="0.25">
      <c r="A51" s="85" t="s">
        <v>162</v>
      </c>
      <c r="B51" s="86" t="s">
        <v>37</v>
      </c>
      <c r="C51" s="86" t="s">
        <v>104</v>
      </c>
      <c r="D51" s="86" t="s">
        <v>44</v>
      </c>
      <c r="E51" s="86">
        <v>3000</v>
      </c>
      <c r="F51" s="86" t="s">
        <v>15</v>
      </c>
      <c r="G51" s="86" t="s">
        <v>15</v>
      </c>
      <c r="H51" s="118" t="str">
        <f>Master_Table[[#This Row],[LES-Type]]&amp;"-"&amp;Master_Table[[#This Row],[Nominal CCT+CRI]]&amp;Master_Table[[#This Row],[Tech]]</f>
        <v>Vesta-SE 15mm-1830GA</v>
      </c>
      <c r="I51"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BXRV-DR-1830G-3000-A-13-SE</v>
      </c>
      <c r="J51" s="118">
        <v>20</v>
      </c>
      <c r="K51" s="86">
        <v>950</v>
      </c>
      <c r="L51" s="87">
        <v>1050</v>
      </c>
      <c r="M51" s="85">
        <f>M47*0.96</f>
        <v>3576</v>
      </c>
      <c r="N51" s="94">
        <f>Master_Table[[#This Row],[Typical Lumens]]/(Master_Table[[#This Row],[Typical Voltage]]*Master_Table[[#This Row],[Typical Current]]/1000)</f>
        <v>110.38740546380613</v>
      </c>
      <c r="O51" s="86">
        <v>34.1</v>
      </c>
      <c r="P51" s="197">
        <v>-15</v>
      </c>
      <c r="Q51" s="211">
        <v>-3.5422555345437313E-11</v>
      </c>
      <c r="R51" s="205">
        <v>9.4330500076400081E-8</v>
      </c>
      <c r="S51" s="205">
        <v>-9.006243448252024E-5</v>
      </c>
      <c r="T51" s="205">
        <v>3.9711545730505921E-2</v>
      </c>
      <c r="U51" s="207">
        <v>25.6416864529936</v>
      </c>
      <c r="V51" s="85">
        <v>5.7649479149342787E-15</v>
      </c>
      <c r="W51" s="86">
        <v>-4.2283240437660214E-10</v>
      </c>
      <c r="X51" s="86">
        <v>7.6174676622829928E-7</v>
      </c>
      <c r="Y51" s="86">
        <v>7.0524054563893322E-4</v>
      </c>
      <c r="Z51" s="87">
        <v>3.5964557943227475E-4</v>
      </c>
      <c r="AA51" s="85">
        <v>0</v>
      </c>
      <c r="AB51" s="86">
        <v>1.0278364914575743E-9</v>
      </c>
      <c r="AC51" s="86">
        <v>-4.2139290615143064E-6</v>
      </c>
      <c r="AD51" s="86">
        <v>-9.6864313722270525E-4</v>
      </c>
      <c r="AE51" s="87">
        <v>1.026833724148835</v>
      </c>
      <c r="AF51" s="213">
        <v>3.2015234797933415E-9</v>
      </c>
      <c r="AG51" s="83">
        <v>-6.4360120240894249E-6</v>
      </c>
      <c r="AH51" s="83">
        <v>2.5888198750477352E-3</v>
      </c>
      <c r="AI51" s="83">
        <v>1.9168985341190756</v>
      </c>
      <c r="AJ51" s="147">
        <v>1731.9465427410789</v>
      </c>
      <c r="AK51" s="213">
        <v>3.2015234797933415E-9</v>
      </c>
      <c r="AL51" s="83">
        <v>-6.4360120240894249E-6</v>
      </c>
      <c r="AM51" s="83">
        <v>2.5888198750477352E-3</v>
      </c>
      <c r="AN51" s="83">
        <v>1.9168985341190756</v>
      </c>
      <c r="AO51" s="147">
        <v>1731.9465427410789</v>
      </c>
      <c r="AP51" s="229">
        <v>6.1294921640691403E-10</v>
      </c>
      <c r="AQ51" s="152">
        <v>-4.758745703186942E-6</v>
      </c>
      <c r="AR51" s="152">
        <v>1.3398929304573081E-2</v>
      </c>
      <c r="AS51" s="152">
        <v>-15.607312162333081</v>
      </c>
      <c r="AT51" s="230">
        <v>6018.8748339394515</v>
      </c>
      <c r="AU51" s="229">
        <v>6.1294921640691403E-10</v>
      </c>
      <c r="AV51" s="152">
        <v>-4.758745703186942E-6</v>
      </c>
      <c r="AW51" s="152">
        <v>1.3398929304573081E-2</v>
      </c>
      <c r="AX51" s="152">
        <v>-15.607312162333081</v>
      </c>
      <c r="AY51" s="230">
        <v>6018.8748339394515</v>
      </c>
    </row>
    <row r="52" spans="1:51" ht="16.5" thickBot="1" x14ac:dyDescent="0.3">
      <c r="A52" s="88" t="s">
        <v>162</v>
      </c>
      <c r="B52" s="89" t="s">
        <v>37</v>
      </c>
      <c r="C52" s="89" t="s">
        <v>104</v>
      </c>
      <c r="D52" s="89" t="s">
        <v>96</v>
      </c>
      <c r="E52" s="89">
        <v>3000</v>
      </c>
      <c r="F52" s="89" t="s">
        <v>15</v>
      </c>
      <c r="G52" s="89" t="s">
        <v>15</v>
      </c>
      <c r="H52" s="119" t="str">
        <f>Master_Table[[#This Row],[LES-Type]]&amp;"-"&amp;Master_Table[[#This Row],[Nominal CCT+CRI]]&amp;Master_Table[[#This Row],[Tech]]</f>
        <v>Vesta-SE 15mm-1830HA</v>
      </c>
      <c r="I52" s="119"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BXRV-DR-1830H-3000-A-13-SE</v>
      </c>
      <c r="J52" s="119">
        <v>20</v>
      </c>
      <c r="K52" s="89">
        <v>950</v>
      </c>
      <c r="L52" s="90">
        <v>1050</v>
      </c>
      <c r="M52" s="88">
        <f>M48*0.96</f>
        <v>3168</v>
      </c>
      <c r="N52" s="132">
        <f>Master_Table[[#This Row],[Typical Lumens]]/(Master_Table[[#This Row],[Typical Voltage]]*Master_Table[[#This Row],[Typical Current]]/1000)</f>
        <v>97.792869269949051</v>
      </c>
      <c r="O52" s="89">
        <v>34.1</v>
      </c>
      <c r="P52" s="198">
        <v>-15</v>
      </c>
      <c r="Q52" s="170">
        <v>-3.5422555345437313E-11</v>
      </c>
      <c r="R52" s="168">
        <v>9.4330500076400081E-8</v>
      </c>
      <c r="S52" s="168">
        <v>-9.006243448252024E-5</v>
      </c>
      <c r="T52" s="168">
        <v>3.9711545730505921E-2</v>
      </c>
      <c r="U52" s="169">
        <v>25.6416864529936</v>
      </c>
      <c r="V52" s="88">
        <v>5.7649479149342787E-15</v>
      </c>
      <c r="W52" s="89">
        <v>-4.2283240437660214E-10</v>
      </c>
      <c r="X52" s="89">
        <v>7.6174676622829928E-7</v>
      </c>
      <c r="Y52" s="89">
        <v>7.0524054563893322E-4</v>
      </c>
      <c r="Z52" s="90">
        <v>3.5964557943227475E-4</v>
      </c>
      <c r="AA52" s="88">
        <v>0</v>
      </c>
      <c r="AB52" s="89">
        <v>1.0278364914575743E-9</v>
      </c>
      <c r="AC52" s="89">
        <v>-4.2139290615143064E-6</v>
      </c>
      <c r="AD52" s="89">
        <v>-9.6864313722270525E-4</v>
      </c>
      <c r="AE52" s="90">
        <v>1.026833724148835</v>
      </c>
      <c r="AF52" s="214">
        <v>3.2015234797933415E-9</v>
      </c>
      <c r="AG52" s="144">
        <v>-6.4360120240894249E-6</v>
      </c>
      <c r="AH52" s="144">
        <v>2.5888198750477352E-3</v>
      </c>
      <c r="AI52" s="144">
        <v>1.9168985341190756</v>
      </c>
      <c r="AJ52" s="148">
        <v>1731.9465427410789</v>
      </c>
      <c r="AK52" s="214">
        <v>3.2015234797933415E-9</v>
      </c>
      <c r="AL52" s="144">
        <v>-6.4360120240894249E-6</v>
      </c>
      <c r="AM52" s="144">
        <v>2.5888198750477352E-3</v>
      </c>
      <c r="AN52" s="144">
        <v>1.9168985341190756</v>
      </c>
      <c r="AO52" s="148">
        <v>1731.9465427410789</v>
      </c>
      <c r="AP52" s="202">
        <v>6.1294921640691403E-10</v>
      </c>
      <c r="AQ52" s="203">
        <v>-4.758745703186942E-6</v>
      </c>
      <c r="AR52" s="203">
        <v>1.3398929304573081E-2</v>
      </c>
      <c r="AS52" s="203">
        <v>-15.607312162333081</v>
      </c>
      <c r="AT52" s="204">
        <v>6018.8748339394515</v>
      </c>
      <c r="AU52" s="202">
        <v>6.1294921640691403E-10</v>
      </c>
      <c r="AV52" s="203">
        <v>-4.758745703186942E-6</v>
      </c>
      <c r="AW52" s="203">
        <v>1.3398929304573081E-2</v>
      </c>
      <c r="AX52" s="203">
        <v>-15.607312162333081</v>
      </c>
      <c r="AY52" s="204">
        <v>6018.8748339394515</v>
      </c>
    </row>
    <row r="53" spans="1:51" x14ac:dyDescent="0.25">
      <c r="A53" s="130" t="s">
        <v>154</v>
      </c>
      <c r="B53" s="82" t="s">
        <v>37</v>
      </c>
      <c r="C53" s="124" t="s">
        <v>104</v>
      </c>
      <c r="D53" s="124" t="s">
        <v>92</v>
      </c>
      <c r="E53" s="121">
        <v>4000</v>
      </c>
      <c r="F53" s="121" t="s">
        <v>15</v>
      </c>
      <c r="G53" s="121" t="s">
        <v>15</v>
      </c>
      <c r="H53" s="122" t="str">
        <f>Master_Table[[#This Row],[LES-Type]]&amp;"-"&amp;Master_Table[[#This Row],[Nominal CCT+CRI]]&amp;Master_Table[[#This Row],[Tech]]</f>
        <v>18mm-1827GA</v>
      </c>
      <c r="I53" s="122"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BXRV-DR-1827G-4000-A-13</v>
      </c>
      <c r="J53" s="122">
        <v>20</v>
      </c>
      <c r="K53" s="121">
        <v>1290</v>
      </c>
      <c r="L53" s="123">
        <v>1400</v>
      </c>
      <c r="M53" s="130">
        <v>5019</v>
      </c>
      <c r="N53" s="131">
        <f>Master_Table[[#This Row],[Typical Lumens]]/(Master_Table[[#This Row],[Typical Voltage]]*Master_Table[[#This Row],[Typical Current]]/1000)</f>
        <v>115.10939865143804</v>
      </c>
      <c r="O53" s="121">
        <v>33.799999999999997</v>
      </c>
      <c r="P53" s="123">
        <v>-12.8</v>
      </c>
      <c r="Q53" s="270">
        <v>-1.3920861893701241E-11</v>
      </c>
      <c r="R53" s="149">
        <v>4.8240243530648746E-8</v>
      </c>
      <c r="S53" s="149">
        <v>-5.9077657744319273E-5</v>
      </c>
      <c r="T53" s="149">
        <v>3.2199401054441378E-2</v>
      </c>
      <c r="U53" s="149">
        <v>26.279697704976499</v>
      </c>
      <c r="V53" s="130">
        <v>1.2102993570755097E-15</v>
      </c>
      <c r="W53" s="149">
        <v>-1.4220514602106273E-10</v>
      </c>
      <c r="X53" s="149">
        <v>3.4052575572219585E-7</v>
      </c>
      <c r="Y53" s="149">
        <v>5.6978048912736208E-4</v>
      </c>
      <c r="Z53" s="123">
        <v>2.2558660031420747E-4</v>
      </c>
      <c r="AA53" s="130">
        <v>0</v>
      </c>
      <c r="AB53" s="149">
        <v>1.0278364914575743E-9</v>
      </c>
      <c r="AC53" s="149">
        <v>-4.2139290615143064E-6</v>
      </c>
      <c r="AD53" s="149">
        <v>-9.6864313722270525E-4</v>
      </c>
      <c r="AE53" s="150">
        <v>1.026833724148835</v>
      </c>
      <c r="AF53" s="130">
        <v>6.4154109516047754E-10</v>
      </c>
      <c r="AG53" s="149">
        <v>-1.6480977820685622E-6</v>
      </c>
      <c r="AH53" s="149">
        <v>6.6508788725944091E-4</v>
      </c>
      <c r="AI53" s="121">
        <v>1.2234078088870646</v>
      </c>
      <c r="AJ53" s="149">
        <v>1767.5067842044105</v>
      </c>
      <c r="AK53" s="130">
        <v>6.4154109516047754E-10</v>
      </c>
      <c r="AL53" s="149">
        <v>-1.6480977820685622E-6</v>
      </c>
      <c r="AM53" s="149">
        <v>6.6508788725944091E-4</v>
      </c>
      <c r="AN53" s="121">
        <v>1.2234078088870646</v>
      </c>
      <c r="AO53" s="149">
        <v>1767.5067842044105</v>
      </c>
      <c r="AP53" s="271">
        <v>6.4400953291127291E-9</v>
      </c>
      <c r="AQ53" s="166">
        <v>-5.4034465796185759E-5</v>
      </c>
      <c r="AR53" s="166">
        <v>0.16915798955133238</v>
      </c>
      <c r="AS53" s="166">
        <v>-233.3761816452363</v>
      </c>
      <c r="AT53" s="166">
        <v>119549.40540494683</v>
      </c>
      <c r="AU53" s="271">
        <v>6.4400953291127291E-9</v>
      </c>
      <c r="AV53" s="166">
        <v>-5.4034465796185759E-5</v>
      </c>
      <c r="AW53" s="166">
        <v>0.16915798955133238</v>
      </c>
      <c r="AX53" s="166">
        <v>-233.3761816452363</v>
      </c>
      <c r="AY53" s="216">
        <v>119549.40540494683</v>
      </c>
    </row>
    <row r="54" spans="1:51" x14ac:dyDescent="0.25">
      <c r="A54" s="85" t="s">
        <v>154</v>
      </c>
      <c r="B54" s="86" t="s">
        <v>37</v>
      </c>
      <c r="C54" s="86" t="s">
        <v>104</v>
      </c>
      <c r="D54" s="86" t="s">
        <v>94</v>
      </c>
      <c r="E54" s="86">
        <v>4000</v>
      </c>
      <c r="F54" s="86" t="s">
        <v>15</v>
      </c>
      <c r="G54" s="86" t="s">
        <v>15</v>
      </c>
      <c r="H54" s="118" t="str">
        <f>Master_Table[[#This Row],[LES-Type]]&amp;"-"&amp;Master_Table[[#This Row],[Nominal CCT+CRI]]&amp;Master_Table[[#This Row],[Tech]]</f>
        <v>18mm-1827HA</v>
      </c>
      <c r="I54"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BXRV-DR-1827H-4000-A-13</v>
      </c>
      <c r="J54" s="118">
        <v>20</v>
      </c>
      <c r="K54" s="86">
        <v>1290</v>
      </c>
      <c r="L54" s="87">
        <v>1400</v>
      </c>
      <c r="M54" s="85">
        <v>3937</v>
      </c>
      <c r="N54" s="94">
        <f>Master_Table[[#This Row],[Typical Lumens]]/(Master_Table[[#This Row],[Typical Voltage]]*Master_Table[[#This Row],[Typical Current]]/1000)</f>
        <v>90.294023209944513</v>
      </c>
      <c r="O54" s="86">
        <v>33.799999999999997</v>
      </c>
      <c r="P54" s="87">
        <v>-12.8</v>
      </c>
      <c r="Q54" s="85">
        <v>-1.3920861893701241E-11</v>
      </c>
      <c r="R54" s="86">
        <v>4.8240243530648746E-8</v>
      </c>
      <c r="S54" s="86">
        <v>-5.9077657744319273E-5</v>
      </c>
      <c r="T54" s="86">
        <v>3.2199401054441378E-2</v>
      </c>
      <c r="U54" s="86">
        <v>26.279697704976499</v>
      </c>
      <c r="V54" s="85">
        <v>1.2102993570755097E-15</v>
      </c>
      <c r="W54" s="86">
        <v>-1.4220514602106273E-10</v>
      </c>
      <c r="X54" s="86">
        <v>3.4052575572219585E-7</v>
      </c>
      <c r="Y54" s="86">
        <v>5.6978048912736208E-4</v>
      </c>
      <c r="Z54" s="87">
        <v>2.2558660031420747E-4</v>
      </c>
      <c r="AA54" s="85">
        <v>0</v>
      </c>
      <c r="AB54" s="86">
        <v>1.0278364914575743E-9</v>
      </c>
      <c r="AC54" s="86">
        <v>-4.2139290615143064E-6</v>
      </c>
      <c r="AD54" s="86">
        <v>-9.6864313722270525E-4</v>
      </c>
      <c r="AE54" s="87">
        <v>1.026833724148835</v>
      </c>
      <c r="AF54" s="85">
        <v>6.4154109516047754E-10</v>
      </c>
      <c r="AG54" s="86">
        <v>-1.6480977820685622E-6</v>
      </c>
      <c r="AH54" s="86">
        <v>6.6508788725944091E-4</v>
      </c>
      <c r="AI54" s="86">
        <v>1.2234078088870646</v>
      </c>
      <c r="AJ54" s="86">
        <v>1767.5067842044105</v>
      </c>
      <c r="AK54" s="85">
        <v>6.4154109516047754E-10</v>
      </c>
      <c r="AL54" s="86">
        <v>-1.6480977820685622E-6</v>
      </c>
      <c r="AM54" s="86">
        <v>6.6508788725944091E-4</v>
      </c>
      <c r="AN54" s="86">
        <v>1.2234078088870646</v>
      </c>
      <c r="AO54" s="86">
        <v>1767.5067842044105</v>
      </c>
      <c r="AP54" s="200">
        <v>6.4400953291127291E-9</v>
      </c>
      <c r="AQ54" s="129">
        <v>-5.4034465796185759E-5</v>
      </c>
      <c r="AR54" s="129">
        <v>0.16915798955133238</v>
      </c>
      <c r="AS54" s="129">
        <v>-233.3761816452363</v>
      </c>
      <c r="AT54" s="129">
        <v>119549.40540494683</v>
      </c>
      <c r="AU54" s="200">
        <v>6.4400953291127291E-9</v>
      </c>
      <c r="AV54" s="129">
        <v>-5.4034465796185759E-5</v>
      </c>
      <c r="AW54" s="129">
        <v>0.16915798955133238</v>
      </c>
      <c r="AX54" s="129">
        <v>-233.3761816452363</v>
      </c>
      <c r="AY54" s="201">
        <v>119549.40540494683</v>
      </c>
    </row>
    <row r="55" spans="1:51" x14ac:dyDescent="0.25">
      <c r="A55" s="85" t="s">
        <v>154</v>
      </c>
      <c r="B55" s="86" t="s">
        <v>37</v>
      </c>
      <c r="C55" s="86" t="s">
        <v>104</v>
      </c>
      <c r="D55" s="86" t="s">
        <v>44</v>
      </c>
      <c r="E55" s="86">
        <v>4000</v>
      </c>
      <c r="F55" s="86" t="s">
        <v>15</v>
      </c>
      <c r="G55" s="86" t="s">
        <v>15</v>
      </c>
      <c r="H55" s="118" t="str">
        <f>Master_Table[[#This Row],[LES-Type]]&amp;"-"&amp;Master_Table[[#This Row],[Nominal CCT+CRI]]&amp;Master_Table[[#This Row],[Tech]]</f>
        <v>18mm-1830GA</v>
      </c>
      <c r="I55"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BXRV-DR-1830G-4000-A-13</v>
      </c>
      <c r="J55" s="118">
        <v>20</v>
      </c>
      <c r="K55" s="86">
        <v>1290</v>
      </c>
      <c r="L55" s="87">
        <v>1400</v>
      </c>
      <c r="M55" s="85">
        <v>5247</v>
      </c>
      <c r="N55" s="94">
        <f>Master_Table[[#This Row],[Typical Lumens]]/(Master_Table[[#This Row],[Typical Voltage]]*Master_Table[[#This Row],[Typical Current]]/1000)</f>
        <v>120.33851658180821</v>
      </c>
      <c r="O55" s="86">
        <v>33.799999999999997</v>
      </c>
      <c r="P55" s="87">
        <v>-12.8</v>
      </c>
      <c r="Q55" s="85">
        <v>-1.3920861893701241E-11</v>
      </c>
      <c r="R55" s="86">
        <v>4.8240243530648746E-8</v>
      </c>
      <c r="S55" s="86">
        <v>-5.9077657744319273E-5</v>
      </c>
      <c r="T55" s="86">
        <v>3.2199401054441378E-2</v>
      </c>
      <c r="U55" s="86">
        <v>26.279697704976499</v>
      </c>
      <c r="V55" s="85">
        <v>-8.4108274980785483E-16</v>
      </c>
      <c r="W55" s="86">
        <v>-1.3534263590679959E-10</v>
      </c>
      <c r="X55" s="86">
        <v>3.3279851468548812E-7</v>
      </c>
      <c r="Y55" s="86">
        <v>5.7303839624680154E-4</v>
      </c>
      <c r="Z55" s="87">
        <v>-1.5676865149293431E-4</v>
      </c>
      <c r="AA55" s="85">
        <v>0</v>
      </c>
      <c r="AB55" s="86">
        <v>1.0278364914575743E-9</v>
      </c>
      <c r="AC55" s="86">
        <v>-4.2139290615143064E-6</v>
      </c>
      <c r="AD55" s="86">
        <v>-9.6864313722270525E-4</v>
      </c>
      <c r="AE55" s="87">
        <v>1.026833724148835</v>
      </c>
      <c r="AF55" s="85">
        <v>8.5538812688063545E-10</v>
      </c>
      <c r="AG55" s="86">
        <v>-2.1974637094247465E-6</v>
      </c>
      <c r="AH55" s="250">
        <v>8.8678384967925288E-4</v>
      </c>
      <c r="AI55" s="250">
        <v>1.6312104118494188</v>
      </c>
      <c r="AJ55" s="240">
        <v>1756.6757122725476</v>
      </c>
      <c r="AK55" s="85">
        <v>8.5538812688063545E-10</v>
      </c>
      <c r="AL55" s="86">
        <v>-2.1974637094247465E-6</v>
      </c>
      <c r="AM55" s="250">
        <v>8.8678384967925288E-4</v>
      </c>
      <c r="AN55" s="250">
        <v>1.6312104118494188</v>
      </c>
      <c r="AO55" s="240">
        <v>1756.6757122725476</v>
      </c>
      <c r="AP55" s="85">
        <v>2.0376864127249602E-9</v>
      </c>
      <c r="AQ55" s="86">
        <v>-1.7905342867200444E-5</v>
      </c>
      <c r="AR55" s="250">
        <v>5.8520349310063349E-2</v>
      </c>
      <c r="AS55" s="250">
        <v>-83.709385704454462</v>
      </c>
      <c r="AT55" s="240">
        <v>44124.810012080823</v>
      </c>
      <c r="AU55" s="85">
        <v>2.0376864127249602E-9</v>
      </c>
      <c r="AV55" s="86">
        <v>-1.7905342867200444E-5</v>
      </c>
      <c r="AW55" s="250">
        <v>5.8520349310063349E-2</v>
      </c>
      <c r="AX55" s="250">
        <v>-83.709385704454462</v>
      </c>
      <c r="AY55" s="240">
        <v>44124.810012080823</v>
      </c>
    </row>
    <row r="56" spans="1:51" ht="16.5" thickBot="1" x14ac:dyDescent="0.3">
      <c r="A56" s="88" t="s">
        <v>154</v>
      </c>
      <c r="B56" s="86" t="s">
        <v>37</v>
      </c>
      <c r="C56" s="89" t="s">
        <v>104</v>
      </c>
      <c r="D56" s="89" t="s">
        <v>96</v>
      </c>
      <c r="E56" s="89">
        <v>4000</v>
      </c>
      <c r="F56" s="89" t="s">
        <v>15</v>
      </c>
      <c r="G56" s="89" t="s">
        <v>15</v>
      </c>
      <c r="H56" s="119" t="str">
        <f>Master_Table[[#This Row],[LES-Type]]&amp;"-"&amp;Master_Table[[#This Row],[Nominal CCT+CRI]]&amp;Master_Table[[#This Row],[Tech]]</f>
        <v>18mm-1830HA</v>
      </c>
      <c r="I56" s="119"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BXRV-DR-1830H-4000-A-13</v>
      </c>
      <c r="J56" s="119">
        <v>20</v>
      </c>
      <c r="K56" s="89">
        <v>1290</v>
      </c>
      <c r="L56" s="90">
        <v>1400</v>
      </c>
      <c r="M56" s="88">
        <v>4709</v>
      </c>
      <c r="N56" s="132">
        <f>Master_Table[[#This Row],[Typical Lumens]]/(Master_Table[[#This Row],[Typical Voltage]]*Master_Table[[#This Row],[Typical Current]]/1000)</f>
        <v>107.99963304435579</v>
      </c>
      <c r="O56" s="89">
        <v>33.799999999999997</v>
      </c>
      <c r="P56" s="90">
        <v>-12.8</v>
      </c>
      <c r="Q56" s="85">
        <v>-1.3920861893701241E-11</v>
      </c>
      <c r="R56" s="86">
        <v>4.8240243530648746E-8</v>
      </c>
      <c r="S56" s="86">
        <v>-5.9077657744319273E-5</v>
      </c>
      <c r="T56" s="86">
        <v>3.2199401054441378E-2</v>
      </c>
      <c r="U56" s="86">
        <v>26.279697704976499</v>
      </c>
      <c r="V56" s="85">
        <v>-8.4108274980785483E-16</v>
      </c>
      <c r="W56" s="86">
        <v>-1.3534263590679959E-10</v>
      </c>
      <c r="X56" s="86">
        <v>3.3279851468548812E-7</v>
      </c>
      <c r="Y56" s="86">
        <v>5.7303839624680154E-4</v>
      </c>
      <c r="Z56" s="87">
        <v>-1.5676865149293431E-4</v>
      </c>
      <c r="AA56" s="88">
        <v>0</v>
      </c>
      <c r="AB56" s="89">
        <v>1.0278364914575743E-9</v>
      </c>
      <c r="AC56" s="89">
        <v>-4.2139290615143064E-6</v>
      </c>
      <c r="AD56" s="89">
        <v>-9.6864313722270525E-4</v>
      </c>
      <c r="AE56" s="90">
        <v>1.026833724148835</v>
      </c>
      <c r="AF56" s="88">
        <v>8.5538812688063545E-10</v>
      </c>
      <c r="AG56" s="89">
        <v>-2.1974637094247465E-6</v>
      </c>
      <c r="AH56" s="89">
        <v>8.8678384967925288E-4</v>
      </c>
      <c r="AI56" s="89">
        <v>1.6312104118494188</v>
      </c>
      <c r="AJ56" s="90">
        <v>1756.6757122725476</v>
      </c>
      <c r="AK56" s="88">
        <v>8.5538812688063545E-10</v>
      </c>
      <c r="AL56" s="89">
        <v>-2.1974637094247465E-6</v>
      </c>
      <c r="AM56" s="89">
        <v>8.8678384967925288E-4</v>
      </c>
      <c r="AN56" s="89">
        <v>1.6312104118494188</v>
      </c>
      <c r="AO56" s="90">
        <v>1756.6757122725476</v>
      </c>
      <c r="AP56" s="85">
        <v>2.0376864127249602E-9</v>
      </c>
      <c r="AQ56" s="86">
        <v>-1.7905342867200444E-5</v>
      </c>
      <c r="AR56" s="86">
        <v>5.8520349310063349E-2</v>
      </c>
      <c r="AS56" s="86">
        <v>-83.709385704454462</v>
      </c>
      <c r="AT56" s="87">
        <v>44124.810012080823</v>
      </c>
      <c r="AU56" s="88">
        <v>2.0376864127249602E-9</v>
      </c>
      <c r="AV56" s="89">
        <v>-1.7905342867200444E-5</v>
      </c>
      <c r="AW56" s="89">
        <v>5.8520349310063349E-2</v>
      </c>
      <c r="AX56" s="89">
        <v>-83.709385704454462</v>
      </c>
      <c r="AY56" s="90">
        <v>44124.810012080823</v>
      </c>
    </row>
    <row r="57" spans="1:51" x14ac:dyDescent="0.25">
      <c r="A57" s="130" t="s">
        <v>163</v>
      </c>
      <c r="B57" s="82" t="s">
        <v>37</v>
      </c>
      <c r="C57" s="124" t="s">
        <v>104</v>
      </c>
      <c r="D57" s="124" t="s">
        <v>92</v>
      </c>
      <c r="E57" s="121">
        <v>4000</v>
      </c>
      <c r="F57" s="121" t="s">
        <v>15</v>
      </c>
      <c r="G57" s="121" t="s">
        <v>15</v>
      </c>
      <c r="H57" s="122" t="str">
        <f>Master_Table[[#This Row],[LES-Type]]&amp;"-"&amp;Master_Table[[#This Row],[Nominal CCT+CRI]]&amp;Master_Table[[#This Row],[Tech]]</f>
        <v>Vesta-SE 18mm-1827GA</v>
      </c>
      <c r="I57" s="122"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BXRV-DR-1827G-4000-A-13-SE</v>
      </c>
      <c r="J57" s="122">
        <v>20</v>
      </c>
      <c r="K57" s="121">
        <v>1290</v>
      </c>
      <c r="L57" s="123">
        <v>1400</v>
      </c>
      <c r="M57" s="130">
        <f>M53*0.96</f>
        <v>4818.24</v>
      </c>
      <c r="N57" s="131">
        <f>Master_Table[[#This Row],[Typical Lumens]]/(Master_Table[[#This Row],[Typical Voltage]]*Master_Table[[#This Row],[Typical Current]]/1000)</f>
        <v>110.50502270538051</v>
      </c>
      <c r="O57" s="121">
        <v>33.799999999999997</v>
      </c>
      <c r="P57" s="123">
        <v>-12.8</v>
      </c>
      <c r="Q57" s="270">
        <v>-1.3920861893701241E-11</v>
      </c>
      <c r="R57" s="149">
        <v>4.8240243530648746E-8</v>
      </c>
      <c r="S57" s="149">
        <v>-5.9077657744319273E-5</v>
      </c>
      <c r="T57" s="149">
        <v>3.2199401054441378E-2</v>
      </c>
      <c r="U57" s="149">
        <v>26.279697704976499</v>
      </c>
      <c r="V57" s="130">
        <v>1.2102993570755097E-15</v>
      </c>
      <c r="W57" s="149">
        <v>-1.4220514602106273E-10</v>
      </c>
      <c r="X57" s="149">
        <v>3.4052575572219585E-7</v>
      </c>
      <c r="Y57" s="149">
        <v>5.6978048912736208E-4</v>
      </c>
      <c r="Z57" s="123">
        <v>2.2558660031420747E-4</v>
      </c>
      <c r="AA57" s="130">
        <v>0</v>
      </c>
      <c r="AB57" s="149">
        <v>1.0278364914575743E-9</v>
      </c>
      <c r="AC57" s="149">
        <v>-4.2139290615143064E-6</v>
      </c>
      <c r="AD57" s="149">
        <v>-9.6864313722270525E-4</v>
      </c>
      <c r="AE57" s="150">
        <v>1.026833724148835</v>
      </c>
      <c r="AF57" s="130">
        <v>6.4154109516047754E-10</v>
      </c>
      <c r="AG57" s="149">
        <v>-1.6480977820685622E-6</v>
      </c>
      <c r="AH57" s="149">
        <v>6.6508788725944091E-4</v>
      </c>
      <c r="AI57" s="121">
        <v>1.2234078088870646</v>
      </c>
      <c r="AJ57" s="149">
        <v>1767.5067842044105</v>
      </c>
      <c r="AK57" s="130">
        <v>6.4154109516047754E-10</v>
      </c>
      <c r="AL57" s="149">
        <v>-1.6480977820685622E-6</v>
      </c>
      <c r="AM57" s="149">
        <v>6.6508788725944091E-4</v>
      </c>
      <c r="AN57" s="121">
        <v>1.2234078088870646</v>
      </c>
      <c r="AO57" s="149">
        <v>1767.5067842044105</v>
      </c>
      <c r="AP57" s="271">
        <v>6.4400953291127291E-9</v>
      </c>
      <c r="AQ57" s="166">
        <v>-5.4034465796185759E-5</v>
      </c>
      <c r="AR57" s="166">
        <v>0.16915798955133238</v>
      </c>
      <c r="AS57" s="166">
        <v>-233.3761816452363</v>
      </c>
      <c r="AT57" s="166">
        <v>119549.40540494683</v>
      </c>
      <c r="AU57" s="271">
        <v>6.4400953291127291E-9</v>
      </c>
      <c r="AV57" s="166">
        <v>-5.4034465796185759E-5</v>
      </c>
      <c r="AW57" s="166">
        <v>0.16915798955133238</v>
      </c>
      <c r="AX57" s="166">
        <v>-233.3761816452363</v>
      </c>
      <c r="AY57" s="216">
        <v>119549.40540494683</v>
      </c>
    </row>
    <row r="58" spans="1:51" x14ac:dyDescent="0.25">
      <c r="A58" s="85" t="s">
        <v>163</v>
      </c>
      <c r="B58" s="86" t="s">
        <v>37</v>
      </c>
      <c r="C58" s="86" t="s">
        <v>104</v>
      </c>
      <c r="D58" s="86" t="s">
        <v>94</v>
      </c>
      <c r="E58" s="86">
        <v>4000</v>
      </c>
      <c r="F58" s="86" t="s">
        <v>15</v>
      </c>
      <c r="G58" s="86" t="s">
        <v>15</v>
      </c>
      <c r="H58" s="118" t="str">
        <f>Master_Table[[#This Row],[LES-Type]]&amp;"-"&amp;Master_Table[[#This Row],[Nominal CCT+CRI]]&amp;Master_Table[[#This Row],[Tech]]</f>
        <v>Vesta-SE 18mm-1827HA</v>
      </c>
      <c r="I58"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BXRV-DR-1827H-4000-A-13-SE</v>
      </c>
      <c r="J58" s="118">
        <v>20</v>
      </c>
      <c r="K58" s="86">
        <v>1290</v>
      </c>
      <c r="L58" s="87">
        <v>1400</v>
      </c>
      <c r="M58" s="85">
        <f>M54*0.96</f>
        <v>3779.52</v>
      </c>
      <c r="N58" s="94">
        <f>Master_Table[[#This Row],[Typical Lumens]]/(Master_Table[[#This Row],[Typical Voltage]]*Master_Table[[#This Row],[Typical Current]]/1000)</f>
        <v>86.682262281546741</v>
      </c>
      <c r="O58" s="86">
        <v>33.799999999999997</v>
      </c>
      <c r="P58" s="87">
        <v>-12.8</v>
      </c>
      <c r="Q58" s="85">
        <v>-1.3920861893701241E-11</v>
      </c>
      <c r="R58" s="86">
        <v>4.8240243530648746E-8</v>
      </c>
      <c r="S58" s="86">
        <v>-5.9077657744319273E-5</v>
      </c>
      <c r="T58" s="86">
        <v>3.2199401054441378E-2</v>
      </c>
      <c r="U58" s="86">
        <v>26.279697704976499</v>
      </c>
      <c r="V58" s="85">
        <v>1.2102993570755097E-15</v>
      </c>
      <c r="W58" s="86">
        <v>-1.4220514602106273E-10</v>
      </c>
      <c r="X58" s="86">
        <v>3.4052575572219585E-7</v>
      </c>
      <c r="Y58" s="86">
        <v>5.6978048912736208E-4</v>
      </c>
      <c r="Z58" s="87">
        <v>2.2558660031420747E-4</v>
      </c>
      <c r="AA58" s="85">
        <v>0</v>
      </c>
      <c r="AB58" s="86">
        <v>1.0278364914575743E-9</v>
      </c>
      <c r="AC58" s="86">
        <v>-4.2139290615143064E-6</v>
      </c>
      <c r="AD58" s="86">
        <v>-9.6864313722270525E-4</v>
      </c>
      <c r="AE58" s="87">
        <v>1.026833724148835</v>
      </c>
      <c r="AF58" s="85">
        <v>6.4154109516047754E-10</v>
      </c>
      <c r="AG58" s="86">
        <v>-1.6480977820685622E-6</v>
      </c>
      <c r="AH58" s="86">
        <v>6.6508788725944091E-4</v>
      </c>
      <c r="AI58" s="86">
        <v>1.2234078088870646</v>
      </c>
      <c r="AJ58" s="86">
        <v>1767.5067842044105</v>
      </c>
      <c r="AK58" s="85">
        <v>6.4154109516047754E-10</v>
      </c>
      <c r="AL58" s="86">
        <v>-1.6480977820685622E-6</v>
      </c>
      <c r="AM58" s="86">
        <v>6.6508788725944091E-4</v>
      </c>
      <c r="AN58" s="86">
        <v>1.2234078088870646</v>
      </c>
      <c r="AO58" s="86">
        <v>1767.5067842044105</v>
      </c>
      <c r="AP58" s="200">
        <v>6.4400953291127291E-9</v>
      </c>
      <c r="AQ58" s="129">
        <v>-5.4034465796185759E-5</v>
      </c>
      <c r="AR58" s="129">
        <v>0.16915798955133238</v>
      </c>
      <c r="AS58" s="129">
        <v>-233.3761816452363</v>
      </c>
      <c r="AT58" s="129">
        <v>119549.40540494683</v>
      </c>
      <c r="AU58" s="200">
        <v>6.4400953291127291E-9</v>
      </c>
      <c r="AV58" s="129">
        <v>-5.4034465796185759E-5</v>
      </c>
      <c r="AW58" s="129">
        <v>0.16915798955133238</v>
      </c>
      <c r="AX58" s="129">
        <v>-233.3761816452363</v>
      </c>
      <c r="AY58" s="201">
        <v>119549.40540494683</v>
      </c>
    </row>
    <row r="59" spans="1:51" x14ac:dyDescent="0.25">
      <c r="A59" s="85" t="s">
        <v>163</v>
      </c>
      <c r="B59" s="86" t="s">
        <v>37</v>
      </c>
      <c r="C59" s="86" t="s">
        <v>104</v>
      </c>
      <c r="D59" s="86" t="s">
        <v>44</v>
      </c>
      <c r="E59" s="86">
        <v>4000</v>
      </c>
      <c r="F59" s="86" t="s">
        <v>15</v>
      </c>
      <c r="G59" s="86" t="s">
        <v>15</v>
      </c>
      <c r="H59" s="118" t="str">
        <f>Master_Table[[#This Row],[LES-Type]]&amp;"-"&amp;Master_Table[[#This Row],[Nominal CCT+CRI]]&amp;Master_Table[[#This Row],[Tech]]</f>
        <v>Vesta-SE 18mm-1830GA</v>
      </c>
      <c r="I59"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BXRV-DR-1830G-4000-A-13-SE</v>
      </c>
      <c r="J59" s="118">
        <v>20</v>
      </c>
      <c r="K59" s="86">
        <v>1290</v>
      </c>
      <c r="L59" s="87">
        <v>1400</v>
      </c>
      <c r="M59" s="85">
        <f>M55*0.96</f>
        <v>5037.12</v>
      </c>
      <c r="N59" s="94">
        <f>Master_Table[[#This Row],[Typical Lumens]]/(Master_Table[[#This Row],[Typical Voltage]]*Master_Table[[#This Row],[Typical Current]]/1000)</f>
        <v>115.52497591853587</v>
      </c>
      <c r="O59" s="86">
        <v>33.799999999999997</v>
      </c>
      <c r="P59" s="87">
        <v>-12.8</v>
      </c>
      <c r="Q59" s="85">
        <v>-1.3920861893701241E-11</v>
      </c>
      <c r="R59" s="86">
        <v>4.8240243530648746E-8</v>
      </c>
      <c r="S59" s="86">
        <v>-5.9077657744319273E-5</v>
      </c>
      <c r="T59" s="86">
        <v>3.2199401054441378E-2</v>
      </c>
      <c r="U59" s="86">
        <v>26.279697704976499</v>
      </c>
      <c r="V59" s="85">
        <v>-8.4108274980785483E-16</v>
      </c>
      <c r="W59" s="86">
        <v>-1.3534263590679959E-10</v>
      </c>
      <c r="X59" s="86">
        <v>3.3279851468548812E-7</v>
      </c>
      <c r="Y59" s="86">
        <v>5.7303839624680154E-4</v>
      </c>
      <c r="Z59" s="87">
        <v>-1.5676865149293431E-4</v>
      </c>
      <c r="AA59" s="85">
        <v>0</v>
      </c>
      <c r="AB59" s="86">
        <v>1.0278364914575743E-9</v>
      </c>
      <c r="AC59" s="86">
        <v>-4.2139290615143064E-6</v>
      </c>
      <c r="AD59" s="86">
        <v>-9.6864313722270525E-4</v>
      </c>
      <c r="AE59" s="87">
        <v>1.026833724148835</v>
      </c>
      <c r="AF59" s="85">
        <v>8.5538812688063545E-10</v>
      </c>
      <c r="AG59" s="86">
        <v>-2.1974637094247465E-6</v>
      </c>
      <c r="AH59" s="250">
        <v>8.8678384967925288E-4</v>
      </c>
      <c r="AI59" s="250">
        <v>1.6312104118494188</v>
      </c>
      <c r="AJ59" s="240">
        <v>1756.6757122725476</v>
      </c>
      <c r="AK59" s="85">
        <v>8.5538812688063545E-10</v>
      </c>
      <c r="AL59" s="86">
        <v>-2.1974637094247465E-6</v>
      </c>
      <c r="AM59" s="250">
        <v>8.8678384967925288E-4</v>
      </c>
      <c r="AN59" s="250">
        <v>1.6312104118494188</v>
      </c>
      <c r="AO59" s="240">
        <v>1756.6757122725476</v>
      </c>
      <c r="AP59" s="85">
        <v>2.0376864127249602E-9</v>
      </c>
      <c r="AQ59" s="86">
        <v>-1.7905342867200444E-5</v>
      </c>
      <c r="AR59" s="250">
        <v>5.8520349310063349E-2</v>
      </c>
      <c r="AS59" s="250">
        <v>-83.709385704454462</v>
      </c>
      <c r="AT59" s="240">
        <v>44124.810012080823</v>
      </c>
      <c r="AU59" s="85">
        <v>2.0376864127249602E-9</v>
      </c>
      <c r="AV59" s="86">
        <v>-1.7905342867200444E-5</v>
      </c>
      <c r="AW59" s="250">
        <v>5.8520349310063349E-2</v>
      </c>
      <c r="AX59" s="250">
        <v>-83.709385704454462</v>
      </c>
      <c r="AY59" s="240">
        <v>44124.810012080823</v>
      </c>
    </row>
    <row r="60" spans="1:51" ht="16.5" thickBot="1" x14ac:dyDescent="0.3">
      <c r="A60" s="88" t="s">
        <v>163</v>
      </c>
      <c r="B60" s="86" t="s">
        <v>37</v>
      </c>
      <c r="C60" s="89" t="s">
        <v>104</v>
      </c>
      <c r="D60" s="89" t="s">
        <v>96</v>
      </c>
      <c r="E60" s="89">
        <v>4000</v>
      </c>
      <c r="F60" s="89" t="s">
        <v>15</v>
      </c>
      <c r="G60" s="89" t="s">
        <v>15</v>
      </c>
      <c r="H60" s="119" t="str">
        <f>Master_Table[[#This Row],[LES-Type]]&amp;"-"&amp;Master_Table[[#This Row],[Nominal CCT+CRI]]&amp;Master_Table[[#This Row],[Tech]]</f>
        <v>Vesta-SE 18mm-1830HA</v>
      </c>
      <c r="I60" s="119"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BXRV-DR-1830H-4000-A-13-SE</v>
      </c>
      <c r="J60" s="119">
        <v>20</v>
      </c>
      <c r="K60" s="89">
        <v>1290</v>
      </c>
      <c r="L60" s="90">
        <v>1400</v>
      </c>
      <c r="M60" s="88">
        <f>M56*0.96</f>
        <v>4520.6399999999994</v>
      </c>
      <c r="N60" s="132">
        <f>Master_Table[[#This Row],[Typical Lumens]]/(Master_Table[[#This Row],[Typical Voltage]]*Master_Table[[#This Row],[Typical Current]]/1000)</f>
        <v>103.67964772258155</v>
      </c>
      <c r="O60" s="89">
        <v>33.799999999999997</v>
      </c>
      <c r="P60" s="90">
        <v>-12.8</v>
      </c>
      <c r="Q60" s="85">
        <v>-1.3920861893701241E-11</v>
      </c>
      <c r="R60" s="86">
        <v>4.8240243530648746E-8</v>
      </c>
      <c r="S60" s="86">
        <v>-5.9077657744319273E-5</v>
      </c>
      <c r="T60" s="86">
        <v>3.2199401054441378E-2</v>
      </c>
      <c r="U60" s="86">
        <v>26.279697704976499</v>
      </c>
      <c r="V60" s="85">
        <v>-8.4108274980785483E-16</v>
      </c>
      <c r="W60" s="86">
        <v>-1.3534263590679959E-10</v>
      </c>
      <c r="X60" s="86">
        <v>3.3279851468548812E-7</v>
      </c>
      <c r="Y60" s="86">
        <v>5.7303839624680154E-4</v>
      </c>
      <c r="Z60" s="87">
        <v>-1.5676865149293431E-4</v>
      </c>
      <c r="AA60" s="88">
        <v>0</v>
      </c>
      <c r="AB60" s="89">
        <v>1.0278364914575743E-9</v>
      </c>
      <c r="AC60" s="89">
        <v>-4.2139290615143064E-6</v>
      </c>
      <c r="AD60" s="89">
        <v>-9.6864313722270525E-4</v>
      </c>
      <c r="AE60" s="90">
        <v>1.026833724148835</v>
      </c>
      <c r="AF60" s="88">
        <v>8.5538812688063545E-10</v>
      </c>
      <c r="AG60" s="89">
        <v>-2.1974637094247465E-6</v>
      </c>
      <c r="AH60" s="89">
        <v>8.8678384967925288E-4</v>
      </c>
      <c r="AI60" s="89">
        <v>1.6312104118494188</v>
      </c>
      <c r="AJ60" s="90">
        <v>1756.6757122725476</v>
      </c>
      <c r="AK60" s="88">
        <v>8.5538812688063545E-10</v>
      </c>
      <c r="AL60" s="89">
        <v>-2.1974637094247465E-6</v>
      </c>
      <c r="AM60" s="89">
        <v>8.8678384967925288E-4</v>
      </c>
      <c r="AN60" s="89">
        <v>1.6312104118494188</v>
      </c>
      <c r="AO60" s="90">
        <v>1756.6757122725476</v>
      </c>
      <c r="AP60" s="85">
        <v>2.0376864127249602E-9</v>
      </c>
      <c r="AQ60" s="86">
        <v>-1.7905342867200444E-5</v>
      </c>
      <c r="AR60" s="86">
        <v>5.8520349310063349E-2</v>
      </c>
      <c r="AS60" s="86">
        <v>-83.709385704454462</v>
      </c>
      <c r="AT60" s="87">
        <v>44124.810012080823</v>
      </c>
      <c r="AU60" s="88">
        <v>2.0376864127249602E-9</v>
      </c>
      <c r="AV60" s="89">
        <v>-1.7905342867200444E-5</v>
      </c>
      <c r="AW60" s="89">
        <v>5.8520349310063349E-2</v>
      </c>
      <c r="AX60" s="89">
        <v>-83.709385704454462</v>
      </c>
      <c r="AY60" s="90">
        <v>44124.810012080823</v>
      </c>
    </row>
    <row r="61" spans="1:51" x14ac:dyDescent="0.25">
      <c r="A61" s="130" t="s">
        <v>155</v>
      </c>
      <c r="B61" s="121" t="s">
        <v>37</v>
      </c>
      <c r="C61" s="124" t="s">
        <v>104</v>
      </c>
      <c r="D61" s="124" t="s">
        <v>92</v>
      </c>
      <c r="E61" s="121" t="s">
        <v>156</v>
      </c>
      <c r="F61" s="121" t="s">
        <v>15</v>
      </c>
      <c r="G61" s="121" t="s">
        <v>15</v>
      </c>
      <c r="H61" s="122" t="str">
        <f>Master_Table[[#This Row],[LES-Type]]&amp;"-"&amp;Master_Table[[#This Row],[Nominal CCT+CRI]]&amp;Master_Table[[#This Row],[Tech]]</f>
        <v>29mm-1827GA</v>
      </c>
      <c r="I61" s="122"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BXRV-DR-1827G-10K0-A-13</v>
      </c>
      <c r="J61" s="122">
        <v>40</v>
      </c>
      <c r="K61" s="121">
        <v>2350</v>
      </c>
      <c r="L61" s="123">
        <v>2500</v>
      </c>
      <c r="M61" s="130">
        <v>12836</v>
      </c>
      <c r="N61" s="131">
        <f>Master_Table[[#This Row],[Typical Lumens]]/(Master_Table[[#This Row],[Typical Voltage]]*Master_Table[[#This Row],[Typical Current]]/1000)</f>
        <v>119.78350130645764</v>
      </c>
      <c r="O61" s="121">
        <v>45.6</v>
      </c>
      <c r="P61" s="123">
        <v>-16.2</v>
      </c>
      <c r="Q61" s="270">
        <v>-1.815579229696846E-12</v>
      </c>
      <c r="R61" s="149">
        <v>1.1117377394504817E-8</v>
      </c>
      <c r="S61" s="149">
        <v>-2.3776258792391319E-5</v>
      </c>
      <c r="T61" s="149">
        <v>2.2236280990342517E-2</v>
      </c>
      <c r="U61" s="149">
        <v>36.649246057874421</v>
      </c>
      <c r="V61" s="130">
        <v>-3.600934239272689E-16</v>
      </c>
      <c r="W61" s="149">
        <v>-2.1787507029213258E-11</v>
      </c>
      <c r="X61" s="149">
        <v>9.1071748257993089E-8</v>
      </c>
      <c r="Y61" s="149">
        <v>3.3673923240876266E-4</v>
      </c>
      <c r="Z61" s="123">
        <v>-5.2500142594142599E-4</v>
      </c>
      <c r="AA61" s="130">
        <v>0</v>
      </c>
      <c r="AB61" s="149">
        <v>1.0278364914575743E-9</v>
      </c>
      <c r="AC61" s="149">
        <v>-4.2139290615143064E-6</v>
      </c>
      <c r="AD61" s="149">
        <v>-9.6864313722270525E-4</v>
      </c>
      <c r="AE61" s="150">
        <v>1.026833724148835</v>
      </c>
      <c r="AF61" s="130">
        <v>3.077721396057823E-11</v>
      </c>
      <c r="AG61" s="121">
        <v>-9.3189303083681219E-8</v>
      </c>
      <c r="AH61" s="121">
        <v>-1.9020206131740151E-4</v>
      </c>
      <c r="AI61" s="121">
        <v>0.96517599700477208</v>
      </c>
      <c r="AJ61" s="123">
        <v>1746.5277793594548</v>
      </c>
      <c r="AK61" s="130">
        <v>3.077721396057823E-11</v>
      </c>
      <c r="AL61" s="121">
        <v>-9.3189303083681219E-8</v>
      </c>
      <c r="AM61" s="121">
        <v>-1.9020206131740151E-4</v>
      </c>
      <c r="AN61" s="121">
        <v>0.96517599700477208</v>
      </c>
      <c r="AO61" s="123">
        <v>1746.5277793594548</v>
      </c>
      <c r="AP61" s="271">
        <v>7.7050756442022782E-9</v>
      </c>
      <c r="AQ61" s="166">
        <v>-6.0641467250844398E-5</v>
      </c>
      <c r="AR61" s="166">
        <v>0.17661669507022001</v>
      </c>
      <c r="AS61" s="166">
        <v>-224.04147235518741</v>
      </c>
      <c r="AT61" s="166">
        <v>103853.00739853692</v>
      </c>
      <c r="AU61" s="271">
        <v>7.7050756442022782E-9</v>
      </c>
      <c r="AV61" s="166">
        <v>-6.0641467250844398E-5</v>
      </c>
      <c r="AW61" s="166">
        <v>0.17661669507022001</v>
      </c>
      <c r="AX61" s="166">
        <v>-224.04147235518741</v>
      </c>
      <c r="AY61" s="166">
        <v>103853.00739853692</v>
      </c>
    </row>
    <row r="62" spans="1:51" x14ac:dyDescent="0.25">
      <c r="A62" s="85" t="s">
        <v>155</v>
      </c>
      <c r="B62" s="86" t="s">
        <v>37</v>
      </c>
      <c r="C62" s="86" t="s">
        <v>104</v>
      </c>
      <c r="D62" s="86" t="s">
        <v>94</v>
      </c>
      <c r="E62" s="86" t="s">
        <v>156</v>
      </c>
      <c r="F62" s="86" t="s">
        <v>15</v>
      </c>
      <c r="G62" s="86" t="s">
        <v>15</v>
      </c>
      <c r="H62" s="118" t="str">
        <f>Master_Table[[#This Row],[LES-Type]]&amp;"-"&amp;Master_Table[[#This Row],[Nominal CCT+CRI]]&amp;Master_Table[[#This Row],[Tech]]</f>
        <v>29mm-1827HA</v>
      </c>
      <c r="I62"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BXRV-DR-1827H-10K0-A-13</v>
      </c>
      <c r="J62" s="118">
        <v>40</v>
      </c>
      <c r="K62" s="86">
        <v>2350</v>
      </c>
      <c r="L62" s="87">
        <v>2500</v>
      </c>
      <c r="M62" s="85">
        <v>9568</v>
      </c>
      <c r="N62" s="94">
        <f>Master_Table[[#This Row],[Typical Lumens]]/(Master_Table[[#This Row],[Typical Voltage]]*Master_Table[[#This Row],[Typical Current]]/1000)</f>
        <v>89.28704740574841</v>
      </c>
      <c r="O62" s="86">
        <v>45.6</v>
      </c>
      <c r="P62" s="87">
        <v>-16.2</v>
      </c>
      <c r="Q62" s="85">
        <v>-1.815579229696846E-12</v>
      </c>
      <c r="R62" s="86">
        <v>1.1117377394504817E-8</v>
      </c>
      <c r="S62" s="86">
        <v>-2.3776258792391319E-5</v>
      </c>
      <c r="T62" s="86">
        <v>2.2236280990342517E-2</v>
      </c>
      <c r="U62" s="86">
        <v>36.649246057874421</v>
      </c>
      <c r="V62" s="85">
        <v>-3.600934239272689E-16</v>
      </c>
      <c r="W62" s="86">
        <v>-2.1787507029213258E-11</v>
      </c>
      <c r="X62" s="86">
        <v>9.1071748257993089E-8</v>
      </c>
      <c r="Y62" s="86">
        <v>3.3673923240876266E-4</v>
      </c>
      <c r="Z62" s="87">
        <v>-5.2500142594142599E-4</v>
      </c>
      <c r="AA62" s="85">
        <v>0</v>
      </c>
      <c r="AB62" s="86">
        <v>1.0278364914575743E-9</v>
      </c>
      <c r="AC62" s="86">
        <v>-4.2139290615143064E-6</v>
      </c>
      <c r="AD62" s="86">
        <v>-9.6864313722270525E-4</v>
      </c>
      <c r="AE62" s="87">
        <v>1.026833724148835</v>
      </c>
      <c r="AF62" s="85">
        <v>3.077721396057823E-11</v>
      </c>
      <c r="AG62" s="250">
        <v>-9.3189303083681219E-8</v>
      </c>
      <c r="AH62" s="250">
        <v>-1.9020206131740151E-4</v>
      </c>
      <c r="AI62" s="250">
        <v>0.96517599700477208</v>
      </c>
      <c r="AJ62" s="240">
        <v>1746.5277793594548</v>
      </c>
      <c r="AK62" s="85">
        <v>3.077721396057823E-11</v>
      </c>
      <c r="AL62" s="250">
        <v>-9.3189303083681219E-8</v>
      </c>
      <c r="AM62" s="250">
        <v>-1.9020206131740151E-4</v>
      </c>
      <c r="AN62" s="250">
        <v>0.96517599700477208</v>
      </c>
      <c r="AO62" s="240">
        <v>1746.5277793594548</v>
      </c>
      <c r="AP62" s="200">
        <v>7.7050756442022782E-9</v>
      </c>
      <c r="AQ62" s="129">
        <v>-6.0641467250844398E-5</v>
      </c>
      <c r="AR62" s="129">
        <v>0.17661669507022001</v>
      </c>
      <c r="AS62" s="129">
        <v>-224.04147235518741</v>
      </c>
      <c r="AT62" s="129">
        <v>103853.00739853692</v>
      </c>
      <c r="AU62" s="200">
        <v>7.7050756442022782E-9</v>
      </c>
      <c r="AV62" s="129">
        <v>-6.0641467250844398E-5</v>
      </c>
      <c r="AW62" s="129">
        <v>0.17661669507022001</v>
      </c>
      <c r="AX62" s="129">
        <v>-224.04147235518741</v>
      </c>
      <c r="AY62" s="129">
        <v>103853.00739853692</v>
      </c>
    </row>
    <row r="63" spans="1:51" x14ac:dyDescent="0.25">
      <c r="A63" s="85" t="s">
        <v>155</v>
      </c>
      <c r="B63" s="86" t="s">
        <v>37</v>
      </c>
      <c r="C63" s="86" t="s">
        <v>104</v>
      </c>
      <c r="D63" s="86" t="s">
        <v>44</v>
      </c>
      <c r="E63" s="86" t="s">
        <v>156</v>
      </c>
      <c r="F63" s="86" t="s">
        <v>15</v>
      </c>
      <c r="G63" s="86" t="s">
        <v>15</v>
      </c>
      <c r="H63" s="118" t="str">
        <f>Master_Table[[#This Row],[LES-Type]]&amp;"-"&amp;Master_Table[[#This Row],[Nominal CCT+CRI]]&amp;Master_Table[[#This Row],[Tech]]</f>
        <v>29mm-1830GA</v>
      </c>
      <c r="I63"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BXRV-DR-1830G-10K0-A-13</v>
      </c>
      <c r="J63" s="118">
        <v>40</v>
      </c>
      <c r="K63" s="86">
        <v>2350</v>
      </c>
      <c r="L63" s="87">
        <v>2500</v>
      </c>
      <c r="M63" s="85">
        <v>13360</v>
      </c>
      <c r="N63" s="94">
        <f>Master_Table[[#This Row],[Typical Lumens]]/(Master_Table[[#This Row],[Typical Voltage]]*Master_Table[[#This Row],[Typical Current]]/1000)</f>
        <v>124.67338559163868</v>
      </c>
      <c r="O63" s="86">
        <v>45.6</v>
      </c>
      <c r="P63" s="87">
        <v>-16.2</v>
      </c>
      <c r="Q63" s="85">
        <v>-1.815579229696846E-12</v>
      </c>
      <c r="R63" s="86">
        <v>1.1117377394504817E-8</v>
      </c>
      <c r="S63" s="86">
        <v>-2.3776258792391319E-5</v>
      </c>
      <c r="T63" s="86">
        <v>2.2236280990342517E-2</v>
      </c>
      <c r="U63" s="86">
        <v>36.649246057874421</v>
      </c>
      <c r="V63" s="85">
        <v>-7.4866575183836113E-16</v>
      </c>
      <c r="W63" s="86">
        <v>-1.9461151393279053E-11</v>
      </c>
      <c r="X63" s="86">
        <v>8.6422291521292201E-8</v>
      </c>
      <c r="Y63" s="86">
        <v>3.4011045348826568E-4</v>
      </c>
      <c r="Z63" s="87">
        <v>-1.09152392449147E-3</v>
      </c>
      <c r="AA63" s="85">
        <v>0</v>
      </c>
      <c r="AB63" s="86">
        <v>1.0278364914575743E-9</v>
      </c>
      <c r="AC63" s="86">
        <v>-4.2139290615143064E-6</v>
      </c>
      <c r="AD63" s="86">
        <v>-9.6864313722270525E-4</v>
      </c>
      <c r="AE63" s="87">
        <v>1.026833724148835</v>
      </c>
      <c r="AF63" s="86">
        <v>4.1036285280770732E-11</v>
      </c>
      <c r="AG63" s="250">
        <v>-1.2425240411157391E-7</v>
      </c>
      <c r="AH63" s="250">
        <v>-2.5360274842320326E-4</v>
      </c>
      <c r="AI63" s="250">
        <v>1.2869013293396963</v>
      </c>
      <c r="AJ63" s="240">
        <v>1728.7037058126068</v>
      </c>
      <c r="AK63" s="86">
        <v>4.1036285280770732E-11</v>
      </c>
      <c r="AL63" s="250">
        <v>-1.2425240411157391E-7</v>
      </c>
      <c r="AM63" s="250">
        <v>-2.5360274842320326E-4</v>
      </c>
      <c r="AN63" s="250">
        <v>1.2869013293396963</v>
      </c>
      <c r="AO63" s="240">
        <v>1728.7037058126068</v>
      </c>
      <c r="AP63" s="200">
        <v>3.8085486578234193E-9</v>
      </c>
      <c r="AQ63" s="152">
        <v>-3.3505959424893805E-5</v>
      </c>
      <c r="AR63" s="152">
        <v>0.10989884661868951</v>
      </c>
      <c r="AS63" s="152">
        <v>-158.30428191552005</v>
      </c>
      <c r="AT63" s="152">
        <v>84341.693612774397</v>
      </c>
      <c r="AU63" s="200">
        <v>3.8085486578234193E-9</v>
      </c>
      <c r="AV63" s="152">
        <v>-3.3505959424893805E-5</v>
      </c>
      <c r="AW63" s="152">
        <v>0.10989884661868951</v>
      </c>
      <c r="AX63" s="152">
        <v>-158.30428191552005</v>
      </c>
      <c r="AY63" s="152">
        <v>84341.693612774397</v>
      </c>
    </row>
    <row r="64" spans="1:51" ht="16.5" thickBot="1" x14ac:dyDescent="0.3">
      <c r="A64" s="88" t="s">
        <v>155</v>
      </c>
      <c r="B64" s="89" t="s">
        <v>37</v>
      </c>
      <c r="C64" s="89" t="s">
        <v>104</v>
      </c>
      <c r="D64" s="89" t="s">
        <v>96</v>
      </c>
      <c r="E64" s="89" t="s">
        <v>156</v>
      </c>
      <c r="F64" s="89" t="s">
        <v>15</v>
      </c>
      <c r="G64" s="89" t="s">
        <v>15</v>
      </c>
      <c r="H64" s="119" t="str">
        <f>Master_Table[[#This Row],[LES-Type]]&amp;"-"&amp;Master_Table[[#This Row],[Nominal CCT+CRI]]&amp;Master_Table[[#This Row],[Tech]]</f>
        <v>29mm-1830HA</v>
      </c>
      <c r="I64" s="119"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BXRV-DR-1830H-10K0-A-13</v>
      </c>
      <c r="J64" s="119">
        <v>40</v>
      </c>
      <c r="K64" s="89">
        <v>2350</v>
      </c>
      <c r="L64" s="90">
        <v>2500</v>
      </c>
      <c r="M64" s="88">
        <v>11949</v>
      </c>
      <c r="N64" s="132">
        <f>Master_Table[[#This Row],[Typical Lumens]]/(Master_Table[[#This Row],[Typical Voltage]]*Master_Table[[#This Row],[Typical Current]]/1000)</f>
        <v>111.50615901455767</v>
      </c>
      <c r="O64" s="89">
        <v>45.6</v>
      </c>
      <c r="P64" s="90">
        <v>-16.2</v>
      </c>
      <c r="Q64" s="85">
        <v>-1.815579229696846E-12</v>
      </c>
      <c r="R64" s="86">
        <v>1.1117377394504817E-8</v>
      </c>
      <c r="S64" s="86">
        <v>-2.3776258792391319E-5</v>
      </c>
      <c r="T64" s="86">
        <v>2.2236280990342517E-2</v>
      </c>
      <c r="U64" s="86">
        <v>36.649246057874421</v>
      </c>
      <c r="V64" s="88">
        <v>-7.4866575183836113E-16</v>
      </c>
      <c r="W64" s="89">
        <v>-1.9461151393279053E-11</v>
      </c>
      <c r="X64" s="89">
        <v>8.6422291521292201E-8</v>
      </c>
      <c r="Y64" s="89">
        <v>3.4011045348826568E-4</v>
      </c>
      <c r="Z64" s="90">
        <v>-1.09152392449147E-3</v>
      </c>
      <c r="AA64" s="88">
        <v>0</v>
      </c>
      <c r="AB64" s="89">
        <v>1.0278364914575743E-9</v>
      </c>
      <c r="AC64" s="89">
        <v>-4.2139290615143064E-6</v>
      </c>
      <c r="AD64" s="89">
        <v>-9.6864313722270525E-4</v>
      </c>
      <c r="AE64" s="90">
        <v>1.026833724148835</v>
      </c>
      <c r="AF64" s="89">
        <v>4.1036285280770732E-11</v>
      </c>
      <c r="AG64" s="89">
        <v>-1.2425240411157391E-7</v>
      </c>
      <c r="AH64" s="89">
        <v>-2.5360274842320326E-4</v>
      </c>
      <c r="AI64" s="89">
        <v>1.2869013293396963</v>
      </c>
      <c r="AJ64" s="90">
        <v>1728.7037058126068</v>
      </c>
      <c r="AK64" s="89">
        <v>4.1036285280770732E-11</v>
      </c>
      <c r="AL64" s="89">
        <v>-1.2425240411157391E-7</v>
      </c>
      <c r="AM64" s="89">
        <v>-2.5360274842320326E-4</v>
      </c>
      <c r="AN64" s="89">
        <v>1.2869013293396963</v>
      </c>
      <c r="AO64" s="90">
        <v>1728.7037058126068</v>
      </c>
      <c r="AP64" s="202">
        <v>3.8085486578234193E-9</v>
      </c>
      <c r="AQ64" s="203">
        <v>-3.3505959424893805E-5</v>
      </c>
      <c r="AR64" s="203">
        <v>0.10989884661868951</v>
      </c>
      <c r="AS64" s="203">
        <v>-158.30428191552005</v>
      </c>
      <c r="AT64" s="203">
        <v>84341.693612774397</v>
      </c>
      <c r="AU64" s="202">
        <v>3.8085486578234193E-9</v>
      </c>
      <c r="AV64" s="203">
        <v>-3.3505959424893805E-5</v>
      </c>
      <c r="AW64" s="203">
        <v>0.10989884661868951</v>
      </c>
      <c r="AX64" s="203">
        <v>-158.30428191552005</v>
      </c>
      <c r="AY64" s="203">
        <v>84341.693612774397</v>
      </c>
    </row>
    <row r="65" spans="1:51" x14ac:dyDescent="0.25">
      <c r="A65" s="130" t="s">
        <v>164</v>
      </c>
      <c r="B65" s="121" t="s">
        <v>37</v>
      </c>
      <c r="C65" s="124" t="s">
        <v>104</v>
      </c>
      <c r="D65" s="124" t="s">
        <v>92</v>
      </c>
      <c r="E65" s="121" t="s">
        <v>156</v>
      </c>
      <c r="F65" s="121" t="s">
        <v>15</v>
      </c>
      <c r="G65" s="121" t="s">
        <v>15</v>
      </c>
      <c r="H65" s="122" t="str">
        <f>Master_Table[[#This Row],[LES-Type]]&amp;"-"&amp;Master_Table[[#This Row],[Nominal CCT+CRI]]&amp;Master_Table[[#This Row],[Tech]]</f>
        <v>Vesta-SE 29mm-1827GA</v>
      </c>
      <c r="I65" s="122"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BXRV-DR-1827G-10K0-A-13-SE</v>
      </c>
      <c r="J65" s="122">
        <v>40</v>
      </c>
      <c r="K65" s="121">
        <v>2350</v>
      </c>
      <c r="L65" s="123">
        <v>2500</v>
      </c>
      <c r="M65" s="130">
        <f>M61*0.96</f>
        <v>12322.56</v>
      </c>
      <c r="N65" s="131">
        <f>Master_Table[[#This Row],[Typical Lumens]]/(Master_Table[[#This Row],[Typical Voltage]]*Master_Table[[#This Row],[Typical Current]]/1000)</f>
        <v>114.99216125419933</v>
      </c>
      <c r="O65" s="121">
        <v>45.6</v>
      </c>
      <c r="P65" s="123">
        <v>-16.2</v>
      </c>
      <c r="Q65" s="270">
        <v>-1.815579229696846E-12</v>
      </c>
      <c r="R65" s="149">
        <v>1.1117377394504817E-8</v>
      </c>
      <c r="S65" s="149">
        <v>-2.3776258792391319E-5</v>
      </c>
      <c r="T65" s="149">
        <v>2.2236280990342517E-2</v>
      </c>
      <c r="U65" s="149">
        <v>36.649246057874421</v>
      </c>
      <c r="V65" s="130">
        <v>-3.600934239272689E-16</v>
      </c>
      <c r="W65" s="149">
        <v>-2.1787507029213258E-11</v>
      </c>
      <c r="X65" s="149">
        <v>9.1071748257993089E-8</v>
      </c>
      <c r="Y65" s="149">
        <v>3.3673923240876266E-4</v>
      </c>
      <c r="Z65" s="123">
        <v>-5.2500142594142599E-4</v>
      </c>
      <c r="AA65" s="130">
        <v>0</v>
      </c>
      <c r="AB65" s="149">
        <v>1.0278364914575743E-9</v>
      </c>
      <c r="AC65" s="149">
        <v>-4.2139290615143064E-6</v>
      </c>
      <c r="AD65" s="149">
        <v>-9.6864313722270525E-4</v>
      </c>
      <c r="AE65" s="150">
        <v>1.026833724148835</v>
      </c>
      <c r="AF65" s="130">
        <v>3.077721396057823E-11</v>
      </c>
      <c r="AG65" s="121">
        <v>-9.3189303083681219E-8</v>
      </c>
      <c r="AH65" s="121">
        <v>-1.9020206131740151E-4</v>
      </c>
      <c r="AI65" s="121">
        <v>0.96517599700477208</v>
      </c>
      <c r="AJ65" s="123">
        <v>1746.5277793594548</v>
      </c>
      <c r="AK65" s="130">
        <v>3.077721396057823E-11</v>
      </c>
      <c r="AL65" s="121">
        <v>-9.3189303083681219E-8</v>
      </c>
      <c r="AM65" s="121">
        <v>-1.9020206131740151E-4</v>
      </c>
      <c r="AN65" s="121">
        <v>0.96517599700477208</v>
      </c>
      <c r="AO65" s="123">
        <v>1746.5277793594548</v>
      </c>
      <c r="AP65" s="271">
        <v>7.7050756442022782E-9</v>
      </c>
      <c r="AQ65" s="166">
        <v>-6.0641467250844398E-5</v>
      </c>
      <c r="AR65" s="166">
        <v>0.17661669507022001</v>
      </c>
      <c r="AS65" s="166">
        <v>-224.04147235518741</v>
      </c>
      <c r="AT65" s="166">
        <v>103853.00739853692</v>
      </c>
      <c r="AU65" s="271">
        <v>7.7050756442022782E-9</v>
      </c>
      <c r="AV65" s="166">
        <v>-6.0641467250844398E-5</v>
      </c>
      <c r="AW65" s="166">
        <v>0.17661669507022001</v>
      </c>
      <c r="AX65" s="166">
        <v>-224.04147235518741</v>
      </c>
      <c r="AY65" s="166">
        <v>103853.00739853692</v>
      </c>
    </row>
    <row r="66" spans="1:51" x14ac:dyDescent="0.25">
      <c r="A66" s="85" t="s">
        <v>164</v>
      </c>
      <c r="B66" s="86" t="s">
        <v>37</v>
      </c>
      <c r="C66" s="86" t="s">
        <v>104</v>
      </c>
      <c r="D66" s="86" t="s">
        <v>94</v>
      </c>
      <c r="E66" s="86" t="s">
        <v>156</v>
      </c>
      <c r="F66" s="86" t="s">
        <v>15</v>
      </c>
      <c r="G66" s="86" t="s">
        <v>15</v>
      </c>
      <c r="H66" s="118" t="str">
        <f>Master_Table[[#This Row],[LES-Type]]&amp;"-"&amp;Master_Table[[#This Row],[Nominal CCT+CRI]]&amp;Master_Table[[#This Row],[Tech]]</f>
        <v>Vesta-SE 29mm-1827HA</v>
      </c>
      <c r="I66"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BXRV-DR-1827H-10K0-A-13-SE</v>
      </c>
      <c r="J66" s="118">
        <v>40</v>
      </c>
      <c r="K66" s="86">
        <v>2350</v>
      </c>
      <c r="L66" s="87">
        <v>2500</v>
      </c>
      <c r="M66" s="85">
        <f>M62*0.96</f>
        <v>9185.2799999999988</v>
      </c>
      <c r="N66" s="94">
        <f>Master_Table[[#This Row],[Typical Lumens]]/(Master_Table[[#This Row],[Typical Voltage]]*Master_Table[[#This Row],[Typical Current]]/1000)</f>
        <v>85.71556550951847</v>
      </c>
      <c r="O66" s="86">
        <v>45.6</v>
      </c>
      <c r="P66" s="87">
        <v>-16.2</v>
      </c>
      <c r="Q66" s="85">
        <v>-1.815579229696846E-12</v>
      </c>
      <c r="R66" s="86">
        <v>1.1117377394504817E-8</v>
      </c>
      <c r="S66" s="86">
        <v>-2.3776258792391319E-5</v>
      </c>
      <c r="T66" s="86">
        <v>2.2236280990342517E-2</v>
      </c>
      <c r="U66" s="86">
        <v>36.649246057874421</v>
      </c>
      <c r="V66" s="85">
        <v>-3.600934239272689E-16</v>
      </c>
      <c r="W66" s="86">
        <v>-2.1787507029213258E-11</v>
      </c>
      <c r="X66" s="86">
        <v>9.1071748257993089E-8</v>
      </c>
      <c r="Y66" s="86">
        <v>3.3673923240876266E-4</v>
      </c>
      <c r="Z66" s="87">
        <v>-5.2500142594142599E-4</v>
      </c>
      <c r="AA66" s="85">
        <v>0</v>
      </c>
      <c r="AB66" s="86">
        <v>1.0278364914575743E-9</v>
      </c>
      <c r="AC66" s="86">
        <v>-4.2139290615143064E-6</v>
      </c>
      <c r="AD66" s="86">
        <v>-9.6864313722270525E-4</v>
      </c>
      <c r="AE66" s="87">
        <v>1.026833724148835</v>
      </c>
      <c r="AF66" s="85">
        <v>3.077721396057823E-11</v>
      </c>
      <c r="AG66" s="250">
        <v>-9.3189303083681219E-8</v>
      </c>
      <c r="AH66" s="250">
        <v>-1.9020206131740151E-4</v>
      </c>
      <c r="AI66" s="250">
        <v>0.96517599700477208</v>
      </c>
      <c r="AJ66" s="240">
        <v>1746.5277793594548</v>
      </c>
      <c r="AK66" s="85">
        <v>3.077721396057823E-11</v>
      </c>
      <c r="AL66" s="250">
        <v>-9.3189303083681219E-8</v>
      </c>
      <c r="AM66" s="250">
        <v>-1.9020206131740151E-4</v>
      </c>
      <c r="AN66" s="250">
        <v>0.96517599700477208</v>
      </c>
      <c r="AO66" s="240">
        <v>1746.5277793594548</v>
      </c>
      <c r="AP66" s="200">
        <v>7.7050756442022782E-9</v>
      </c>
      <c r="AQ66" s="129">
        <v>-6.0641467250844398E-5</v>
      </c>
      <c r="AR66" s="129">
        <v>0.17661669507022001</v>
      </c>
      <c r="AS66" s="129">
        <v>-224.04147235518741</v>
      </c>
      <c r="AT66" s="129">
        <v>103853.00739853692</v>
      </c>
      <c r="AU66" s="200">
        <v>7.7050756442022782E-9</v>
      </c>
      <c r="AV66" s="129">
        <v>-6.0641467250844398E-5</v>
      </c>
      <c r="AW66" s="129">
        <v>0.17661669507022001</v>
      </c>
      <c r="AX66" s="129">
        <v>-224.04147235518741</v>
      </c>
      <c r="AY66" s="129">
        <v>103853.00739853692</v>
      </c>
    </row>
    <row r="67" spans="1:51" x14ac:dyDescent="0.25">
      <c r="A67" s="85" t="s">
        <v>164</v>
      </c>
      <c r="B67" s="86" t="s">
        <v>37</v>
      </c>
      <c r="C67" s="86" t="s">
        <v>104</v>
      </c>
      <c r="D67" s="86" t="s">
        <v>44</v>
      </c>
      <c r="E67" s="86" t="s">
        <v>156</v>
      </c>
      <c r="F67" s="86" t="s">
        <v>15</v>
      </c>
      <c r="G67" s="86" t="s">
        <v>15</v>
      </c>
      <c r="H67" s="118" t="str">
        <f>Master_Table[[#This Row],[LES-Type]]&amp;"-"&amp;Master_Table[[#This Row],[Nominal CCT+CRI]]&amp;Master_Table[[#This Row],[Tech]]</f>
        <v>Vesta-SE 29mm-1830GA</v>
      </c>
      <c r="I67"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BXRV-DR-1830G-10K0-A-13-SE</v>
      </c>
      <c r="J67" s="118">
        <v>40</v>
      </c>
      <c r="K67" s="86">
        <v>2350</v>
      </c>
      <c r="L67" s="87">
        <v>2500</v>
      </c>
      <c r="M67" s="85">
        <f>M63*0.96</f>
        <v>12825.6</v>
      </c>
      <c r="N67" s="94">
        <f>Master_Table[[#This Row],[Typical Lumens]]/(Master_Table[[#This Row],[Typical Voltage]]*Master_Table[[#This Row],[Typical Current]]/1000)</f>
        <v>119.68645016797313</v>
      </c>
      <c r="O67" s="86">
        <v>45.6</v>
      </c>
      <c r="P67" s="87">
        <v>-16.2</v>
      </c>
      <c r="Q67" s="85">
        <v>-1.815579229696846E-12</v>
      </c>
      <c r="R67" s="86">
        <v>1.1117377394504817E-8</v>
      </c>
      <c r="S67" s="86">
        <v>-2.3776258792391319E-5</v>
      </c>
      <c r="T67" s="86">
        <v>2.2236280990342517E-2</v>
      </c>
      <c r="U67" s="86">
        <v>36.649246057874421</v>
      </c>
      <c r="V67" s="85">
        <v>-7.4866575183836113E-16</v>
      </c>
      <c r="W67" s="86">
        <v>-1.9461151393279053E-11</v>
      </c>
      <c r="X67" s="86">
        <v>8.6422291521292201E-8</v>
      </c>
      <c r="Y67" s="86">
        <v>3.4011045348826568E-4</v>
      </c>
      <c r="Z67" s="87">
        <v>-1.09152392449147E-3</v>
      </c>
      <c r="AA67" s="85">
        <v>0</v>
      </c>
      <c r="AB67" s="86">
        <v>1.0278364914575743E-9</v>
      </c>
      <c r="AC67" s="86">
        <v>-4.2139290615143064E-6</v>
      </c>
      <c r="AD67" s="86">
        <v>-9.6864313722270525E-4</v>
      </c>
      <c r="AE67" s="87">
        <v>1.026833724148835</v>
      </c>
      <c r="AF67" s="86">
        <v>4.1036285280770732E-11</v>
      </c>
      <c r="AG67" s="250">
        <v>-1.2425240411157391E-7</v>
      </c>
      <c r="AH67" s="250">
        <v>-2.5360274842320326E-4</v>
      </c>
      <c r="AI67" s="250">
        <v>1.2869013293396963</v>
      </c>
      <c r="AJ67" s="240">
        <v>1728.7037058126068</v>
      </c>
      <c r="AK67" s="86">
        <v>4.1036285280770732E-11</v>
      </c>
      <c r="AL67" s="250">
        <v>-1.2425240411157391E-7</v>
      </c>
      <c r="AM67" s="250">
        <v>-2.5360274842320326E-4</v>
      </c>
      <c r="AN67" s="250">
        <v>1.2869013293396963</v>
      </c>
      <c r="AO67" s="240">
        <v>1728.7037058126068</v>
      </c>
      <c r="AP67" s="200">
        <v>3.8085486578234193E-9</v>
      </c>
      <c r="AQ67" s="152">
        <v>-3.3505959424893805E-5</v>
      </c>
      <c r="AR67" s="152">
        <v>0.10989884661868951</v>
      </c>
      <c r="AS67" s="152">
        <v>-158.30428191552005</v>
      </c>
      <c r="AT67" s="152">
        <v>84341.693612774397</v>
      </c>
      <c r="AU67" s="200">
        <v>3.8085486578234193E-9</v>
      </c>
      <c r="AV67" s="152">
        <v>-3.3505959424893805E-5</v>
      </c>
      <c r="AW67" s="152">
        <v>0.10989884661868951</v>
      </c>
      <c r="AX67" s="152">
        <v>-158.30428191552005</v>
      </c>
      <c r="AY67" s="152">
        <v>84341.693612774397</v>
      </c>
    </row>
    <row r="68" spans="1:51" ht="16.5" thickBot="1" x14ac:dyDescent="0.3">
      <c r="A68" s="88" t="s">
        <v>164</v>
      </c>
      <c r="B68" s="89" t="s">
        <v>37</v>
      </c>
      <c r="C68" s="89" t="s">
        <v>104</v>
      </c>
      <c r="D68" s="89" t="s">
        <v>96</v>
      </c>
      <c r="E68" s="89" t="s">
        <v>156</v>
      </c>
      <c r="F68" s="89" t="s">
        <v>15</v>
      </c>
      <c r="G68" s="89" t="s">
        <v>15</v>
      </c>
      <c r="H68" s="119" t="str">
        <f>Master_Table[[#This Row],[LES-Type]]&amp;"-"&amp;Master_Table[[#This Row],[Nominal CCT+CRI]]&amp;Master_Table[[#This Row],[Tech]]</f>
        <v>Vesta-SE 29mm-1830HA</v>
      </c>
      <c r="I68" s="119"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Row],[Generation]]&amp;"-13-SE"</f>
        <v>BXRV-DR-1830H-10K0-A-13-SE</v>
      </c>
      <c r="J68" s="119">
        <v>40</v>
      </c>
      <c r="K68" s="89">
        <v>2350</v>
      </c>
      <c r="L68" s="90">
        <v>2500</v>
      </c>
      <c r="M68" s="88">
        <f>M64*0.96</f>
        <v>11471.039999999999</v>
      </c>
      <c r="N68" s="132">
        <f>Master_Table[[#This Row],[Typical Lumens]]/(Master_Table[[#This Row],[Typical Voltage]]*Master_Table[[#This Row],[Typical Current]]/1000)</f>
        <v>107.04591265397536</v>
      </c>
      <c r="O68" s="89">
        <v>45.6</v>
      </c>
      <c r="P68" s="90">
        <v>-16.2</v>
      </c>
      <c r="Q68" s="85">
        <v>-1.815579229696846E-12</v>
      </c>
      <c r="R68" s="86">
        <v>1.1117377394504817E-8</v>
      </c>
      <c r="S68" s="86">
        <v>-2.3776258792391319E-5</v>
      </c>
      <c r="T68" s="86">
        <v>2.2236280990342517E-2</v>
      </c>
      <c r="U68" s="86">
        <v>36.649246057874421</v>
      </c>
      <c r="V68" s="88">
        <v>-7.4866575183836113E-16</v>
      </c>
      <c r="W68" s="89">
        <v>-1.9461151393279053E-11</v>
      </c>
      <c r="X68" s="89">
        <v>8.6422291521292201E-8</v>
      </c>
      <c r="Y68" s="89">
        <v>3.4011045348826568E-4</v>
      </c>
      <c r="Z68" s="90">
        <v>-1.09152392449147E-3</v>
      </c>
      <c r="AA68" s="88">
        <v>0</v>
      </c>
      <c r="AB68" s="89">
        <v>1.0278364914575743E-9</v>
      </c>
      <c r="AC68" s="89">
        <v>-4.2139290615143064E-6</v>
      </c>
      <c r="AD68" s="89">
        <v>-9.6864313722270525E-4</v>
      </c>
      <c r="AE68" s="90">
        <v>1.026833724148835</v>
      </c>
      <c r="AF68" s="89">
        <v>4.1036285280770732E-11</v>
      </c>
      <c r="AG68" s="89">
        <v>-1.2425240411157391E-7</v>
      </c>
      <c r="AH68" s="89">
        <v>-2.5360274842320326E-4</v>
      </c>
      <c r="AI68" s="89">
        <v>1.2869013293396963</v>
      </c>
      <c r="AJ68" s="90">
        <v>1728.7037058126068</v>
      </c>
      <c r="AK68" s="89">
        <v>4.1036285280770732E-11</v>
      </c>
      <c r="AL68" s="89">
        <v>-1.2425240411157391E-7</v>
      </c>
      <c r="AM68" s="89">
        <v>-2.5360274842320326E-4</v>
      </c>
      <c r="AN68" s="89">
        <v>1.2869013293396963</v>
      </c>
      <c r="AO68" s="90">
        <v>1728.7037058126068</v>
      </c>
      <c r="AP68" s="202">
        <v>3.8085486578234193E-9</v>
      </c>
      <c r="AQ68" s="203">
        <v>-3.3505959424893805E-5</v>
      </c>
      <c r="AR68" s="203">
        <v>0.10989884661868951</v>
      </c>
      <c r="AS68" s="203">
        <v>-158.30428191552005</v>
      </c>
      <c r="AT68" s="203">
        <v>84341.693612774397</v>
      </c>
      <c r="AU68" s="202">
        <v>3.8085486578234193E-9</v>
      </c>
      <c r="AV68" s="203">
        <v>-3.3505959424893805E-5</v>
      </c>
      <c r="AW68" s="203">
        <v>0.10989884661868951</v>
      </c>
      <c r="AX68" s="203">
        <v>-158.30428191552005</v>
      </c>
      <c r="AY68" s="203">
        <v>84341.693612774397</v>
      </c>
    </row>
    <row r="69" spans="1:51" x14ac:dyDescent="0.25">
      <c r="A69" s="86"/>
      <c r="B69" s="86"/>
      <c r="C69" s="86"/>
      <c r="D69" s="86"/>
      <c r="E69" s="86"/>
      <c r="F69" s="86"/>
      <c r="G69" s="86"/>
      <c r="H69" s="118" t="str">
        <f>Master_Table[[#This Row],[LES-Type]]&amp;"-"&amp;Master_Table[[#This Row],[Nominal CCT+CRI]]&amp;Master_Table[[#This Row],[Tech]]</f>
        <v>-</v>
      </c>
      <c r="I69"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69" s="118"/>
      <c r="K69" s="86"/>
      <c r="L69" s="86"/>
      <c r="M69" s="86"/>
      <c r="N69" s="94" t="e">
        <f>Master_Table[[#This Row],[Typical Lumens]]/(Master_Table[[#This Row],[Typical Voltage]]*Master_Table[[#This Row],[Typical Current]]/1000)</f>
        <v>#DIV/0!</v>
      </c>
      <c r="O69" s="86"/>
      <c r="P69" s="86"/>
      <c r="Q69" s="86"/>
      <c r="R69" s="86"/>
      <c r="S69" s="86"/>
      <c r="T69" s="86"/>
      <c r="U69" s="86"/>
      <c r="V69" s="86"/>
      <c r="W69" s="86"/>
      <c r="X69" s="86"/>
      <c r="Y69" s="86"/>
      <c r="Z69" s="86"/>
      <c r="AA69" s="86"/>
      <c r="AB69" s="86"/>
      <c r="AC69" s="86"/>
      <c r="AD69" s="86"/>
      <c r="AE69" s="86"/>
      <c r="AF69" s="86"/>
      <c r="AG69" s="86"/>
      <c r="AH69" s="86"/>
      <c r="AI69" s="86"/>
      <c r="AJ69" s="86"/>
      <c r="AK69" s="86"/>
      <c r="AL69" s="86"/>
      <c r="AM69" s="86"/>
      <c r="AN69" s="86"/>
      <c r="AO69" s="86"/>
      <c r="AP69" s="129"/>
      <c r="AQ69" s="129"/>
      <c r="AR69" s="129"/>
      <c r="AS69" s="129"/>
      <c r="AT69" s="129"/>
      <c r="AU69" s="86"/>
      <c r="AV69" s="86"/>
      <c r="AW69" s="86"/>
      <c r="AX69" s="86"/>
      <c r="AY69" s="86"/>
    </row>
    <row r="70" spans="1:51" x14ac:dyDescent="0.25">
      <c r="A70" s="86"/>
      <c r="B70" s="86"/>
      <c r="C70" s="86"/>
      <c r="D70" s="86"/>
      <c r="E70" s="86"/>
      <c r="F70" s="86"/>
      <c r="G70" s="86"/>
      <c r="H70" s="118" t="str">
        <f>Master_Table[[#This Row],[LES-Type]]&amp;"-"&amp;Master_Table[[#This Row],[Nominal CCT+CRI]]&amp;Master_Table[[#This Row],[Tech]]</f>
        <v>-</v>
      </c>
      <c r="I70"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70" s="118"/>
      <c r="K70" s="86"/>
      <c r="L70" s="86"/>
      <c r="M70" s="86"/>
      <c r="N70" s="94" t="e">
        <f>Master_Table[[#This Row],[Typical Lumens]]/(Master_Table[[#This Row],[Typical Voltage]]*Master_Table[[#This Row],[Typical Current]]/1000)</f>
        <v>#DIV/0!</v>
      </c>
      <c r="O70" s="86"/>
      <c r="P70" s="86"/>
      <c r="Q70" s="86"/>
      <c r="R70" s="86"/>
      <c r="S70" s="86"/>
      <c r="T70" s="86"/>
      <c r="U70" s="86"/>
      <c r="V70" s="86"/>
      <c r="W70" s="86"/>
      <c r="X70" s="86"/>
      <c r="Y70" s="86"/>
      <c r="Z70" s="86"/>
      <c r="AA70" s="86"/>
      <c r="AB70" s="86"/>
      <c r="AC70" s="86"/>
      <c r="AD70" s="86"/>
      <c r="AE70" s="86"/>
      <c r="AF70" s="86"/>
      <c r="AG70" s="86"/>
      <c r="AH70" s="86"/>
      <c r="AI70" s="86"/>
      <c r="AJ70" s="86"/>
      <c r="AK70" s="86"/>
      <c r="AL70" s="86"/>
      <c r="AM70" s="86"/>
      <c r="AN70" s="86"/>
      <c r="AO70" s="86"/>
      <c r="AP70" s="129"/>
      <c r="AQ70" s="129"/>
      <c r="AR70" s="129"/>
      <c r="AS70" s="129"/>
      <c r="AT70" s="129"/>
      <c r="AU70" s="86"/>
      <c r="AV70" s="86"/>
      <c r="AW70" s="86"/>
      <c r="AX70" s="86"/>
      <c r="AY70" s="86"/>
    </row>
    <row r="71" spans="1:51" x14ac:dyDescent="0.25">
      <c r="A71" s="86"/>
      <c r="B71" s="86"/>
      <c r="C71" s="86"/>
      <c r="D71" s="86"/>
      <c r="E71" s="86"/>
      <c r="F71" s="86"/>
      <c r="G71" s="86"/>
      <c r="H71" s="118" t="str">
        <f>Master_Table[[#This Row],[LES-Type]]&amp;"-"&amp;Master_Table[[#This Row],[Nominal CCT+CRI]]&amp;Master_Table[[#This Row],[Tech]]</f>
        <v>-</v>
      </c>
      <c r="I71"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71" s="118"/>
      <c r="K71" s="86"/>
      <c r="L71" s="86"/>
      <c r="M71" s="86"/>
      <c r="N71" s="94" t="e">
        <f>Master_Table[[#This Row],[Typical Lumens]]/(Master_Table[[#This Row],[Typical Voltage]]*Master_Table[[#This Row],[Typical Current]]/1000)</f>
        <v>#DIV/0!</v>
      </c>
      <c r="O71" s="86"/>
      <c r="P71" s="86"/>
      <c r="Q71" s="86"/>
      <c r="R71" s="86"/>
      <c r="S71" s="86"/>
      <c r="T71" s="86"/>
      <c r="U71" s="86"/>
      <c r="V71" s="86"/>
      <c r="W71" s="86"/>
      <c r="X71" s="86"/>
      <c r="Y71" s="86"/>
      <c r="Z71" s="86"/>
      <c r="AA71" s="86"/>
      <c r="AB71" s="86"/>
      <c r="AC71" s="86"/>
      <c r="AD71" s="86"/>
      <c r="AE71" s="86"/>
      <c r="AF71" s="86"/>
      <c r="AG71" s="86"/>
      <c r="AH71" s="86"/>
      <c r="AI71" s="86"/>
      <c r="AJ71" s="86"/>
      <c r="AK71" s="86"/>
      <c r="AL71" s="86"/>
      <c r="AM71" s="86"/>
      <c r="AN71" s="86"/>
      <c r="AO71" s="86"/>
      <c r="AP71" s="129"/>
      <c r="AQ71" s="129"/>
      <c r="AR71" s="129"/>
      <c r="AS71" s="129"/>
      <c r="AT71" s="129"/>
      <c r="AU71" s="86"/>
      <c r="AV71" s="86"/>
      <c r="AW71" s="86"/>
      <c r="AX71" s="86"/>
      <c r="AY71" s="86"/>
    </row>
    <row r="72" spans="1:51" x14ac:dyDescent="0.25">
      <c r="A72" s="86"/>
      <c r="B72" s="86"/>
      <c r="C72" s="86"/>
      <c r="D72" s="86"/>
      <c r="E72" s="86"/>
      <c r="F72" s="86"/>
      <c r="G72" s="86"/>
      <c r="H72" s="118" t="str">
        <f>Master_Table[[#This Row],[LES-Type]]&amp;"-"&amp;Master_Table[[#This Row],[Nominal CCT+CRI]]&amp;Master_Table[[#This Row],[Tech]]</f>
        <v>-</v>
      </c>
      <c r="I72"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72" s="118"/>
      <c r="K72" s="86"/>
      <c r="L72" s="86"/>
      <c r="M72" s="86"/>
      <c r="N72" s="94" t="e">
        <f>Master_Table[[#This Row],[Typical Lumens]]/(Master_Table[[#This Row],[Typical Voltage]]*Master_Table[[#This Row],[Typical Current]]/1000)</f>
        <v>#DIV/0!</v>
      </c>
      <c r="O72" s="86"/>
      <c r="P72" s="86"/>
      <c r="Q72" s="86"/>
      <c r="R72" s="86"/>
      <c r="S72" s="86"/>
      <c r="T72" s="86"/>
      <c r="U72" s="86"/>
      <c r="V72" s="86"/>
      <c r="W72" s="86"/>
      <c r="X72" s="86"/>
      <c r="Y72" s="86"/>
      <c r="Z72" s="86"/>
      <c r="AA72" s="86"/>
      <c r="AB72" s="86"/>
      <c r="AC72" s="86"/>
      <c r="AD72" s="86"/>
      <c r="AE72" s="86"/>
      <c r="AF72" s="86"/>
      <c r="AG72" s="86"/>
      <c r="AH72" s="86"/>
      <c r="AI72" s="86"/>
      <c r="AJ72" s="86"/>
      <c r="AK72" s="86"/>
      <c r="AL72" s="86"/>
      <c r="AM72" s="86"/>
      <c r="AN72" s="86"/>
      <c r="AO72" s="86"/>
      <c r="AP72" s="129"/>
      <c r="AQ72" s="129"/>
      <c r="AR72" s="129"/>
      <c r="AS72" s="129"/>
      <c r="AT72" s="129"/>
      <c r="AU72" s="86"/>
      <c r="AV72" s="86"/>
      <c r="AW72" s="86"/>
      <c r="AX72" s="86"/>
      <c r="AY72" s="86"/>
    </row>
    <row r="73" spans="1:51" x14ac:dyDescent="0.25">
      <c r="A73" s="86"/>
      <c r="B73" s="86"/>
      <c r="C73" s="86"/>
      <c r="D73" s="86"/>
      <c r="E73" s="86"/>
      <c r="F73" s="86"/>
      <c r="G73" s="86"/>
      <c r="H73" s="118" t="str">
        <f>Master_Table[[#This Row],[LES-Type]]&amp;"-"&amp;Master_Table[[#This Row],[Nominal CCT+CRI]]&amp;Master_Table[[#This Row],[Tech]]</f>
        <v>-</v>
      </c>
      <c r="I73"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73" s="118"/>
      <c r="K73" s="86"/>
      <c r="L73" s="86"/>
      <c r="M73" s="86"/>
      <c r="N73" s="94" t="e">
        <f>Master_Table[[#This Row],[Typical Lumens]]/(Master_Table[[#This Row],[Typical Voltage]]*Master_Table[[#This Row],[Typical Current]]/1000)</f>
        <v>#DIV/0!</v>
      </c>
      <c r="O73" s="86"/>
      <c r="P73" s="86"/>
      <c r="Q73" s="86"/>
      <c r="R73" s="86"/>
      <c r="S73" s="86"/>
      <c r="T73" s="86"/>
      <c r="U73" s="86"/>
      <c r="V73" s="86"/>
      <c r="W73" s="86"/>
      <c r="X73" s="86"/>
      <c r="Y73" s="86"/>
      <c r="Z73" s="86"/>
      <c r="AA73" s="86"/>
      <c r="AB73" s="86"/>
      <c r="AC73" s="86"/>
      <c r="AD73" s="86"/>
      <c r="AE73" s="86"/>
      <c r="AF73" s="86"/>
      <c r="AG73" s="86"/>
      <c r="AH73" s="86"/>
      <c r="AI73" s="86"/>
      <c r="AJ73" s="86"/>
      <c r="AK73" s="86"/>
      <c r="AL73" s="86"/>
      <c r="AM73" s="86"/>
      <c r="AN73" s="86"/>
      <c r="AO73" s="86"/>
      <c r="AP73" s="129"/>
      <c r="AQ73" s="129"/>
      <c r="AR73" s="129"/>
      <c r="AS73" s="129"/>
      <c r="AT73" s="129"/>
      <c r="AU73" s="86"/>
      <c r="AV73" s="86"/>
      <c r="AW73" s="86"/>
      <c r="AX73" s="86"/>
      <c r="AY73" s="86"/>
    </row>
    <row r="74" spans="1:51" x14ac:dyDescent="0.25">
      <c r="A74" s="86"/>
      <c r="B74" s="86"/>
      <c r="C74" s="86"/>
      <c r="D74" s="86"/>
      <c r="E74" s="86"/>
      <c r="F74" s="86"/>
      <c r="G74" s="86"/>
      <c r="H74" s="118" t="str">
        <f>Master_Table[[#This Row],[LES-Type]]&amp;"-"&amp;Master_Table[[#This Row],[Nominal CCT+CRI]]&amp;Master_Table[[#This Row],[Tech]]</f>
        <v>-</v>
      </c>
      <c r="I74"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74" s="118"/>
      <c r="K74" s="86"/>
      <c r="L74" s="86"/>
      <c r="M74" s="86"/>
      <c r="N74" s="94" t="e">
        <f>Master_Table[[#This Row],[Typical Lumens]]/(Master_Table[[#This Row],[Typical Voltage]]*Master_Table[[#This Row],[Typical Current]]/1000)</f>
        <v>#DIV/0!</v>
      </c>
      <c r="O74" s="86"/>
      <c r="P74" s="86"/>
      <c r="Q74" s="86"/>
      <c r="R74" s="86"/>
      <c r="S74" s="86"/>
      <c r="T74" s="86"/>
      <c r="U74" s="86"/>
      <c r="V74" s="86"/>
      <c r="W74" s="86"/>
      <c r="X74" s="86"/>
      <c r="Y74" s="86"/>
      <c r="Z74" s="86"/>
      <c r="AA74" s="86"/>
      <c r="AB74" s="86"/>
      <c r="AC74" s="86"/>
      <c r="AD74" s="86"/>
      <c r="AE74" s="86"/>
      <c r="AF74" s="86"/>
      <c r="AG74" s="86"/>
      <c r="AH74" s="86"/>
      <c r="AI74" s="86"/>
      <c r="AJ74" s="86"/>
      <c r="AK74" s="86"/>
      <c r="AL74" s="86"/>
      <c r="AM74" s="86"/>
      <c r="AN74" s="86"/>
      <c r="AO74" s="86"/>
      <c r="AP74" s="129"/>
      <c r="AQ74" s="129"/>
      <c r="AR74" s="129"/>
      <c r="AS74" s="129"/>
      <c r="AT74" s="129"/>
      <c r="AU74" s="86"/>
      <c r="AV74" s="86"/>
      <c r="AW74" s="86"/>
      <c r="AX74" s="86"/>
      <c r="AY74" s="86"/>
    </row>
    <row r="75" spans="1:51" x14ac:dyDescent="0.25">
      <c r="A75" s="86"/>
      <c r="B75" s="86"/>
      <c r="C75" s="86"/>
      <c r="D75" s="86"/>
      <c r="E75" s="86"/>
      <c r="F75" s="86"/>
      <c r="G75" s="86"/>
      <c r="H75" s="118" t="str">
        <f>Master_Table[[#This Row],[LES-Type]]&amp;"-"&amp;Master_Table[[#This Row],[Nominal CCT+CRI]]&amp;Master_Table[[#This Row],[Tech]]</f>
        <v>-</v>
      </c>
      <c r="I75"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75" s="118"/>
      <c r="K75" s="86"/>
      <c r="L75" s="86"/>
      <c r="M75" s="86"/>
      <c r="N75" s="94" t="e">
        <f>Master_Table[[#This Row],[Typical Lumens]]/(Master_Table[[#This Row],[Typical Voltage]]*Master_Table[[#This Row],[Typical Current]]/1000)</f>
        <v>#DIV/0!</v>
      </c>
      <c r="O75" s="86"/>
      <c r="P75" s="86"/>
      <c r="Q75" s="86"/>
      <c r="R75" s="86"/>
      <c r="S75" s="86"/>
      <c r="T75" s="86"/>
      <c r="U75" s="86"/>
      <c r="V75" s="86"/>
      <c r="W75" s="86"/>
      <c r="X75" s="86"/>
      <c r="Y75" s="86"/>
      <c r="Z75" s="86"/>
      <c r="AA75" s="86"/>
      <c r="AB75" s="86"/>
      <c r="AC75" s="86"/>
      <c r="AD75" s="86"/>
      <c r="AE75" s="86"/>
      <c r="AF75" s="86"/>
      <c r="AG75" s="86"/>
      <c r="AH75" s="86"/>
      <c r="AI75" s="86"/>
      <c r="AJ75" s="86"/>
      <c r="AK75" s="86"/>
      <c r="AL75" s="86"/>
      <c r="AM75" s="86"/>
      <c r="AN75" s="86"/>
      <c r="AO75" s="86"/>
      <c r="AP75" s="129"/>
      <c r="AQ75" s="129"/>
      <c r="AR75" s="129"/>
      <c r="AS75" s="129"/>
      <c r="AT75" s="129"/>
      <c r="AU75" s="86"/>
      <c r="AV75" s="86"/>
      <c r="AW75" s="86"/>
      <c r="AX75" s="86"/>
      <c r="AY75" s="86"/>
    </row>
    <row r="76" spans="1:51" x14ac:dyDescent="0.25">
      <c r="A76" s="86"/>
      <c r="B76" s="86"/>
      <c r="C76" s="86"/>
      <c r="D76" s="86"/>
      <c r="E76" s="86"/>
      <c r="F76" s="86"/>
      <c r="G76" s="86"/>
      <c r="H76" s="118" t="str">
        <f>Master_Table[[#This Row],[LES-Type]]&amp;"-"&amp;Master_Table[[#This Row],[Nominal CCT+CRI]]&amp;Master_Table[[#This Row],[Tech]]</f>
        <v>-</v>
      </c>
      <c r="I76"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76" s="118"/>
      <c r="K76" s="86"/>
      <c r="L76" s="86"/>
      <c r="M76" s="86"/>
      <c r="N76" s="94" t="e">
        <f>Master_Table[[#This Row],[Typical Lumens]]/(Master_Table[[#This Row],[Typical Voltage]]*Master_Table[[#This Row],[Typical Current]]/1000)</f>
        <v>#DIV/0!</v>
      </c>
      <c r="O76" s="86"/>
      <c r="P76" s="86"/>
      <c r="Q76" s="86"/>
      <c r="R76" s="86"/>
      <c r="S76" s="86"/>
      <c r="T76" s="86"/>
      <c r="U76" s="86"/>
      <c r="V76" s="86"/>
      <c r="W76" s="86"/>
      <c r="X76" s="86"/>
      <c r="Y76" s="86"/>
      <c r="Z76" s="86"/>
      <c r="AA76" s="86"/>
      <c r="AB76" s="86"/>
      <c r="AC76" s="86"/>
      <c r="AD76" s="86"/>
      <c r="AE76" s="86"/>
      <c r="AF76" s="86"/>
      <c r="AG76" s="86"/>
      <c r="AH76" s="86"/>
      <c r="AI76" s="86"/>
      <c r="AJ76" s="86"/>
      <c r="AK76" s="86"/>
      <c r="AL76" s="86"/>
      <c r="AM76" s="86"/>
      <c r="AN76" s="86"/>
      <c r="AO76" s="86"/>
      <c r="AP76" s="129"/>
      <c r="AQ76" s="129"/>
      <c r="AR76" s="129"/>
      <c r="AS76" s="129"/>
      <c r="AT76" s="129"/>
      <c r="AU76" s="86"/>
      <c r="AV76" s="86"/>
      <c r="AW76" s="86"/>
      <c r="AX76" s="86"/>
      <c r="AY76" s="86"/>
    </row>
    <row r="77" spans="1:51" x14ac:dyDescent="0.25">
      <c r="A77" s="86"/>
      <c r="B77" s="86"/>
      <c r="C77" s="86"/>
      <c r="D77" s="86"/>
      <c r="E77" s="86"/>
      <c r="F77" s="86"/>
      <c r="G77" s="86"/>
      <c r="H77" s="118" t="str">
        <f>Master_Table[[#This Row],[LES-Type]]&amp;"-"&amp;Master_Table[[#This Row],[Nominal CCT+CRI]]&amp;Master_Table[[#This Row],[Tech]]</f>
        <v>-</v>
      </c>
      <c r="I77"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77" s="118"/>
      <c r="K77" s="86"/>
      <c r="L77" s="86"/>
      <c r="M77" s="86"/>
      <c r="N77" s="94" t="e">
        <f>Master_Table[[#This Row],[Typical Lumens]]/(Master_Table[[#This Row],[Typical Voltage]]*Master_Table[[#This Row],[Typical Current]]/1000)</f>
        <v>#DIV/0!</v>
      </c>
      <c r="O77" s="86"/>
      <c r="P77" s="86"/>
      <c r="Q77" s="86"/>
      <c r="R77" s="86"/>
      <c r="S77" s="86"/>
      <c r="T77" s="86"/>
      <c r="U77" s="86"/>
      <c r="V77" s="86"/>
      <c r="W77" s="86"/>
      <c r="X77" s="86"/>
      <c r="Y77" s="86"/>
      <c r="Z77" s="86"/>
      <c r="AA77" s="86"/>
      <c r="AB77" s="86"/>
      <c r="AC77" s="86"/>
      <c r="AD77" s="86"/>
      <c r="AE77" s="86"/>
      <c r="AF77" s="86"/>
      <c r="AG77" s="86"/>
      <c r="AH77" s="86"/>
      <c r="AI77" s="86"/>
      <c r="AJ77" s="86"/>
      <c r="AK77" s="86"/>
      <c r="AL77" s="86"/>
      <c r="AM77" s="86"/>
      <c r="AN77" s="86"/>
      <c r="AO77" s="86"/>
      <c r="AP77" s="129"/>
      <c r="AQ77" s="129"/>
      <c r="AR77" s="129"/>
      <c r="AS77" s="129"/>
      <c r="AT77" s="129"/>
      <c r="AU77" s="86"/>
      <c r="AV77" s="86"/>
      <c r="AW77" s="86"/>
      <c r="AX77" s="86"/>
      <c r="AY77" s="86"/>
    </row>
    <row r="78" spans="1:51" x14ac:dyDescent="0.25">
      <c r="A78" s="86"/>
      <c r="B78" s="86"/>
      <c r="C78" s="86"/>
      <c r="D78" s="86"/>
      <c r="E78" s="86"/>
      <c r="F78" s="86"/>
      <c r="G78" s="86"/>
      <c r="H78" s="118" t="str">
        <f>Master_Table[[#This Row],[LES-Type]]&amp;"-"&amp;Master_Table[[#This Row],[Nominal CCT+CRI]]&amp;Master_Table[[#This Row],[Tech]]</f>
        <v>-</v>
      </c>
      <c r="I78"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78" s="118"/>
      <c r="K78" s="86"/>
      <c r="L78" s="86"/>
      <c r="M78" s="86"/>
      <c r="N78" s="94" t="e">
        <f>Master_Table[[#This Row],[Typical Lumens]]/(Master_Table[[#This Row],[Typical Voltage]]*Master_Table[[#This Row],[Typical Current]]/1000)</f>
        <v>#DIV/0!</v>
      </c>
      <c r="O78" s="86"/>
      <c r="P78" s="86"/>
      <c r="Q78" s="86"/>
      <c r="R78" s="86"/>
      <c r="S78" s="86"/>
      <c r="T78" s="86"/>
      <c r="U78" s="86"/>
      <c r="V78" s="86"/>
      <c r="W78" s="86"/>
      <c r="X78" s="86"/>
      <c r="Y78" s="86"/>
      <c r="Z78" s="86"/>
      <c r="AA78" s="86"/>
      <c r="AB78" s="86"/>
      <c r="AC78" s="86"/>
      <c r="AD78" s="86"/>
      <c r="AE78" s="86"/>
      <c r="AF78" s="86"/>
      <c r="AG78" s="86"/>
      <c r="AH78" s="86"/>
      <c r="AI78" s="86"/>
      <c r="AJ78" s="86"/>
      <c r="AK78" s="86"/>
      <c r="AL78" s="86"/>
      <c r="AM78" s="86"/>
      <c r="AN78" s="86"/>
      <c r="AO78" s="86"/>
      <c r="AP78" s="129"/>
      <c r="AQ78" s="129"/>
      <c r="AR78" s="129"/>
      <c r="AS78" s="129"/>
      <c r="AT78" s="129"/>
      <c r="AU78" s="86"/>
      <c r="AV78" s="86"/>
      <c r="AW78" s="86"/>
      <c r="AX78" s="86"/>
      <c r="AY78" s="86"/>
    </row>
    <row r="79" spans="1:51" x14ac:dyDescent="0.25">
      <c r="A79" s="86"/>
      <c r="B79" s="86"/>
      <c r="C79" s="86"/>
      <c r="D79" s="86"/>
      <c r="E79" s="86"/>
      <c r="F79" s="86"/>
      <c r="G79" s="86"/>
      <c r="H79" s="118" t="str">
        <f>Master_Table[[#This Row],[LES-Type]]&amp;"-"&amp;Master_Table[[#This Row],[Nominal CCT+CRI]]&amp;Master_Table[[#This Row],[Tech]]</f>
        <v>-</v>
      </c>
      <c r="I79"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79" s="118"/>
      <c r="K79" s="86"/>
      <c r="L79" s="86"/>
      <c r="M79" s="86"/>
      <c r="N79" s="94" t="e">
        <f>Master_Table[[#This Row],[Typical Lumens]]/(Master_Table[[#This Row],[Typical Voltage]]*Master_Table[[#This Row],[Typical Current]]/1000)</f>
        <v>#DIV/0!</v>
      </c>
      <c r="O79" s="86"/>
      <c r="P79" s="86"/>
      <c r="Q79" s="86"/>
      <c r="R79" s="86"/>
      <c r="S79" s="86"/>
      <c r="T79" s="86"/>
      <c r="U79" s="86"/>
      <c r="V79" s="86"/>
      <c r="W79" s="86"/>
      <c r="X79" s="86"/>
      <c r="Y79" s="86"/>
      <c r="Z79" s="86"/>
      <c r="AA79" s="86"/>
      <c r="AB79" s="86"/>
      <c r="AC79" s="86"/>
      <c r="AD79" s="86"/>
      <c r="AE79" s="86"/>
      <c r="AF79" s="86"/>
      <c r="AG79" s="86"/>
      <c r="AH79" s="86"/>
      <c r="AI79" s="86"/>
      <c r="AJ79" s="86"/>
      <c r="AK79" s="86"/>
      <c r="AL79" s="86"/>
      <c r="AM79" s="86"/>
      <c r="AN79" s="86"/>
      <c r="AO79" s="86"/>
      <c r="AP79" s="129"/>
      <c r="AQ79" s="129"/>
      <c r="AR79" s="129"/>
      <c r="AS79" s="129"/>
      <c r="AT79" s="129"/>
      <c r="AU79" s="86"/>
      <c r="AV79" s="86"/>
      <c r="AW79" s="86"/>
      <c r="AX79" s="86"/>
      <c r="AY79" s="86"/>
    </row>
    <row r="80" spans="1:51" x14ac:dyDescent="0.25">
      <c r="A80" s="86"/>
      <c r="B80" s="86"/>
      <c r="C80" s="86"/>
      <c r="D80" s="86"/>
      <c r="E80" s="86"/>
      <c r="F80" s="86"/>
      <c r="G80" s="86"/>
      <c r="H80" s="118" t="str">
        <f>Master_Table[[#This Row],[LES-Type]]&amp;"-"&amp;Master_Table[[#This Row],[Nominal CCT+CRI]]&amp;Master_Table[[#This Row],[Tech]]</f>
        <v>-</v>
      </c>
      <c r="I80"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80" s="118"/>
      <c r="K80" s="86"/>
      <c r="L80" s="86"/>
      <c r="M80" s="86"/>
      <c r="N80" s="94" t="e">
        <f>Master_Table[[#This Row],[Typical Lumens]]/(Master_Table[[#This Row],[Typical Voltage]]*Master_Table[[#This Row],[Typical Current]]/1000)</f>
        <v>#DIV/0!</v>
      </c>
      <c r="O80" s="86"/>
      <c r="P80" s="86"/>
      <c r="Q80" s="86"/>
      <c r="R80" s="86"/>
      <c r="S80" s="86"/>
      <c r="T80" s="86"/>
      <c r="U80" s="86"/>
      <c r="V80" s="86"/>
      <c r="W80" s="86"/>
      <c r="X80" s="86"/>
      <c r="Y80" s="86"/>
      <c r="Z80" s="86"/>
      <c r="AA80" s="86"/>
      <c r="AB80" s="86"/>
      <c r="AC80" s="86"/>
      <c r="AD80" s="86"/>
      <c r="AE80" s="86"/>
      <c r="AF80" s="86"/>
      <c r="AG80" s="86"/>
      <c r="AH80" s="86"/>
      <c r="AI80" s="86"/>
      <c r="AJ80" s="86"/>
      <c r="AK80" s="86"/>
      <c r="AL80" s="86"/>
      <c r="AM80" s="86"/>
      <c r="AN80" s="86"/>
      <c r="AO80" s="86"/>
      <c r="AP80" s="129"/>
      <c r="AQ80" s="129"/>
      <c r="AR80" s="129"/>
      <c r="AS80" s="129"/>
      <c r="AT80" s="129"/>
      <c r="AU80" s="86"/>
      <c r="AV80" s="86"/>
      <c r="AW80" s="86"/>
      <c r="AX80" s="86"/>
      <c r="AY80" s="86"/>
    </row>
    <row r="81" spans="1:51" x14ac:dyDescent="0.25">
      <c r="A81" s="86"/>
      <c r="B81" s="86"/>
      <c r="C81" s="86"/>
      <c r="D81" s="86"/>
      <c r="E81" s="86"/>
      <c r="F81" s="86"/>
      <c r="G81" s="86"/>
      <c r="H81" s="118" t="str">
        <f>Master_Table[[#This Row],[LES-Type]]&amp;"-"&amp;Master_Table[[#This Row],[Nominal CCT+CRI]]&amp;Master_Table[[#This Row],[Tech]]</f>
        <v>-</v>
      </c>
      <c r="I81"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81" s="118"/>
      <c r="K81" s="86"/>
      <c r="L81" s="86"/>
      <c r="M81" s="86"/>
      <c r="N81" s="94" t="e">
        <f>Master_Table[[#This Row],[Typical Lumens]]/(Master_Table[[#This Row],[Typical Voltage]]*Master_Table[[#This Row],[Typical Current]]/1000)</f>
        <v>#DIV/0!</v>
      </c>
      <c r="O81" s="86"/>
      <c r="P81" s="86"/>
      <c r="Q81" s="86"/>
      <c r="R81" s="86"/>
      <c r="S81" s="86"/>
      <c r="T81" s="86"/>
      <c r="U81" s="86"/>
      <c r="V81" s="86"/>
      <c r="W81" s="86"/>
      <c r="X81" s="86"/>
      <c r="Y81" s="86"/>
      <c r="Z81" s="86"/>
      <c r="AA81" s="86"/>
      <c r="AB81" s="86"/>
      <c r="AC81" s="86"/>
      <c r="AD81" s="86"/>
      <c r="AE81" s="86"/>
      <c r="AF81" s="86"/>
      <c r="AG81" s="86"/>
      <c r="AH81" s="86"/>
      <c r="AI81" s="86"/>
      <c r="AJ81" s="86"/>
      <c r="AK81" s="86"/>
      <c r="AL81" s="86"/>
      <c r="AM81" s="86"/>
      <c r="AN81" s="86"/>
      <c r="AO81" s="86"/>
      <c r="AP81" s="129"/>
      <c r="AQ81" s="129"/>
      <c r="AR81" s="129"/>
      <c r="AS81" s="129"/>
      <c r="AT81" s="129"/>
      <c r="AU81" s="86"/>
      <c r="AV81" s="86"/>
      <c r="AW81" s="86"/>
      <c r="AX81" s="86"/>
      <c r="AY81" s="86"/>
    </row>
    <row r="82" spans="1:51" x14ac:dyDescent="0.25">
      <c r="A82" s="86"/>
      <c r="B82" s="86"/>
      <c r="C82" s="86"/>
      <c r="D82" s="86"/>
      <c r="E82" s="86"/>
      <c r="F82" s="86"/>
      <c r="G82" s="86"/>
      <c r="H82" s="118" t="str">
        <f>Master_Table[[#This Row],[LES-Type]]&amp;"-"&amp;Master_Table[[#This Row],[Nominal CCT+CRI]]&amp;Master_Table[[#This Row],[Tech]]</f>
        <v>-</v>
      </c>
      <c r="I82"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82" s="118"/>
      <c r="K82" s="86"/>
      <c r="L82" s="86"/>
      <c r="M82" s="86"/>
      <c r="N82" s="94" t="e">
        <f>Master_Table[[#This Row],[Typical Lumens]]/(Master_Table[[#This Row],[Typical Voltage]]*Master_Table[[#This Row],[Typical Current]]/1000)</f>
        <v>#DIV/0!</v>
      </c>
      <c r="O82" s="86"/>
      <c r="P82" s="86"/>
      <c r="Q82" s="86"/>
      <c r="R82" s="86"/>
      <c r="S82" s="86"/>
      <c r="T82" s="86"/>
      <c r="U82" s="86"/>
      <c r="V82" s="86"/>
      <c r="W82" s="86"/>
      <c r="X82" s="86"/>
      <c r="Y82" s="86"/>
      <c r="Z82" s="86"/>
      <c r="AA82" s="86"/>
      <c r="AB82" s="86"/>
      <c r="AC82" s="86"/>
      <c r="AD82" s="86"/>
      <c r="AE82" s="86"/>
      <c r="AF82" s="86"/>
      <c r="AG82" s="86"/>
      <c r="AH82" s="86"/>
      <c r="AI82" s="86"/>
      <c r="AJ82" s="86"/>
      <c r="AK82" s="86"/>
      <c r="AL82" s="86"/>
      <c r="AM82" s="86"/>
      <c r="AN82" s="86"/>
      <c r="AO82" s="86"/>
      <c r="AP82" s="129"/>
      <c r="AQ82" s="129"/>
      <c r="AR82" s="129"/>
      <c r="AS82" s="129"/>
      <c r="AT82" s="129"/>
      <c r="AU82" s="86"/>
      <c r="AV82" s="86"/>
      <c r="AW82" s="86"/>
      <c r="AX82" s="86"/>
      <c r="AY82" s="86"/>
    </row>
    <row r="83" spans="1:51" x14ac:dyDescent="0.25">
      <c r="A83" s="86"/>
      <c r="B83" s="86"/>
      <c r="C83" s="86"/>
      <c r="D83" s="86"/>
      <c r="E83" s="86"/>
      <c r="F83" s="86"/>
      <c r="G83" s="86"/>
      <c r="H83" s="118" t="str">
        <f>Master_Table[[#This Row],[LES-Type]]&amp;"-"&amp;Master_Table[[#This Row],[Nominal CCT+CRI]]&amp;Master_Table[[#This Row],[Tech]]</f>
        <v>-</v>
      </c>
      <c r="I83"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83" s="118"/>
      <c r="K83" s="86"/>
      <c r="L83" s="86"/>
      <c r="M83" s="86"/>
      <c r="N83" s="94" t="e">
        <f>Master_Table[[#This Row],[Typical Lumens]]/(Master_Table[[#This Row],[Typical Voltage]]*Master_Table[[#This Row],[Typical Current]]/1000)</f>
        <v>#DIV/0!</v>
      </c>
      <c r="O83" s="86"/>
      <c r="P83" s="86"/>
      <c r="Q83" s="86"/>
      <c r="R83" s="86"/>
      <c r="S83" s="86"/>
      <c r="T83" s="86"/>
      <c r="U83" s="86"/>
      <c r="V83" s="86"/>
      <c r="W83" s="86"/>
      <c r="X83" s="86"/>
      <c r="Y83" s="86"/>
      <c r="Z83" s="86"/>
      <c r="AA83" s="86"/>
      <c r="AB83" s="86"/>
      <c r="AC83" s="86"/>
      <c r="AD83" s="86"/>
      <c r="AE83" s="86"/>
      <c r="AF83" s="86"/>
      <c r="AG83" s="86"/>
      <c r="AH83" s="86"/>
      <c r="AI83" s="86"/>
      <c r="AJ83" s="86"/>
      <c r="AK83" s="86"/>
      <c r="AL83" s="86"/>
      <c r="AM83" s="86"/>
      <c r="AN83" s="86"/>
      <c r="AO83" s="86"/>
      <c r="AP83" s="129"/>
      <c r="AQ83" s="129"/>
      <c r="AR83" s="129"/>
      <c r="AS83" s="129"/>
      <c r="AT83" s="129"/>
      <c r="AU83" s="86"/>
      <c r="AV83" s="86"/>
      <c r="AW83" s="86"/>
      <c r="AX83" s="86"/>
      <c r="AY83" s="86"/>
    </row>
    <row r="84" spans="1:51" x14ac:dyDescent="0.25">
      <c r="A84" s="86"/>
      <c r="B84" s="86"/>
      <c r="C84" s="86"/>
      <c r="D84" s="86"/>
      <c r="E84" s="86"/>
      <c r="F84" s="86"/>
      <c r="G84" s="86"/>
      <c r="H84" s="118" t="str">
        <f>Master_Table[[#This Row],[LES-Type]]&amp;"-"&amp;Master_Table[[#This Row],[Nominal CCT+CRI]]&amp;Master_Table[[#This Row],[Tech]]</f>
        <v>-</v>
      </c>
      <c r="I84"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84" s="118"/>
      <c r="K84" s="86"/>
      <c r="L84" s="86"/>
      <c r="M84" s="86"/>
      <c r="N84" s="94" t="e">
        <f>Master_Table[[#This Row],[Typical Lumens]]/(Master_Table[[#This Row],[Typical Voltage]]*Master_Table[[#This Row],[Typical Current]]/1000)</f>
        <v>#DIV/0!</v>
      </c>
      <c r="O84" s="86"/>
      <c r="P84" s="86"/>
      <c r="Q84" s="86"/>
      <c r="R84" s="86"/>
      <c r="S84" s="86"/>
      <c r="T84" s="86"/>
      <c r="U84" s="86"/>
      <c r="V84" s="86"/>
      <c r="W84" s="86"/>
      <c r="X84" s="86"/>
      <c r="Y84" s="86"/>
      <c r="Z84" s="86"/>
      <c r="AA84" s="86"/>
      <c r="AB84" s="86"/>
      <c r="AC84" s="86"/>
      <c r="AD84" s="86"/>
      <c r="AE84" s="86"/>
      <c r="AF84" s="86"/>
      <c r="AG84" s="86"/>
      <c r="AH84" s="86"/>
      <c r="AI84" s="86"/>
      <c r="AJ84" s="86"/>
      <c r="AK84" s="86"/>
      <c r="AL84" s="86"/>
      <c r="AM84" s="86"/>
      <c r="AN84" s="86"/>
      <c r="AO84" s="86"/>
      <c r="AP84" s="129"/>
      <c r="AQ84" s="129"/>
      <c r="AR84" s="129"/>
      <c r="AS84" s="129"/>
      <c r="AT84" s="129"/>
      <c r="AU84" s="86"/>
      <c r="AV84" s="86"/>
      <c r="AW84" s="86"/>
      <c r="AX84" s="86"/>
      <c r="AY84" s="86"/>
    </row>
    <row r="85" spans="1:51" x14ac:dyDescent="0.25">
      <c r="A85" s="86"/>
      <c r="B85" s="86"/>
      <c r="C85" s="86"/>
      <c r="D85" s="86"/>
      <c r="E85" s="86"/>
      <c r="F85" s="86"/>
      <c r="G85" s="86"/>
      <c r="H85" s="118" t="str">
        <f>Master_Table[[#This Row],[LES-Type]]&amp;"-"&amp;Master_Table[[#This Row],[Nominal CCT+CRI]]&amp;Master_Table[[#This Row],[Tech]]</f>
        <v>-</v>
      </c>
      <c r="I85"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85" s="118"/>
      <c r="K85" s="86"/>
      <c r="L85" s="86"/>
      <c r="M85" s="86"/>
      <c r="N85" s="94" t="e">
        <f>Master_Table[[#This Row],[Typical Lumens]]/(Master_Table[[#This Row],[Typical Voltage]]*Master_Table[[#This Row],[Typical Current]]/1000)</f>
        <v>#DIV/0!</v>
      </c>
      <c r="O85" s="86"/>
      <c r="P85" s="86"/>
      <c r="Q85" s="86"/>
      <c r="R85" s="86"/>
      <c r="S85" s="86"/>
      <c r="T85" s="86"/>
      <c r="U85" s="86"/>
      <c r="V85" s="86"/>
      <c r="W85" s="86"/>
      <c r="X85" s="86"/>
      <c r="Y85" s="86"/>
      <c r="Z85" s="86"/>
      <c r="AA85" s="86"/>
      <c r="AB85" s="86"/>
      <c r="AC85" s="86"/>
      <c r="AD85" s="86"/>
      <c r="AE85" s="86"/>
      <c r="AF85" s="86"/>
      <c r="AG85" s="86"/>
      <c r="AH85" s="86"/>
      <c r="AI85" s="86"/>
      <c r="AJ85" s="86"/>
      <c r="AK85" s="86"/>
      <c r="AL85" s="86"/>
      <c r="AM85" s="86"/>
      <c r="AN85" s="86"/>
      <c r="AO85" s="86"/>
      <c r="AP85" s="129"/>
      <c r="AQ85" s="129"/>
      <c r="AR85" s="129"/>
      <c r="AS85" s="129"/>
      <c r="AT85" s="129"/>
      <c r="AU85" s="86"/>
      <c r="AV85" s="86"/>
      <c r="AW85" s="86"/>
      <c r="AX85" s="86"/>
      <c r="AY85" s="86"/>
    </row>
    <row r="86" spans="1:51" x14ac:dyDescent="0.25">
      <c r="A86" s="86"/>
      <c r="B86" s="86"/>
      <c r="C86" s="86"/>
      <c r="D86" s="86"/>
      <c r="E86" s="86"/>
      <c r="F86" s="86"/>
      <c r="G86" s="86"/>
      <c r="H86" s="118" t="str">
        <f>Master_Table[[#This Row],[LES-Type]]&amp;"-"&amp;Master_Table[[#This Row],[Nominal CCT+CRI]]&amp;Master_Table[[#This Row],[Tech]]</f>
        <v>-</v>
      </c>
      <c r="I86"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86" s="118"/>
      <c r="K86" s="86"/>
      <c r="L86" s="86"/>
      <c r="M86" s="86"/>
      <c r="N86" s="94" t="e">
        <f>Master_Table[[#This Row],[Typical Lumens]]/(Master_Table[[#This Row],[Typical Voltage]]*Master_Table[[#This Row],[Typical Current]]/1000)</f>
        <v>#DIV/0!</v>
      </c>
      <c r="O86" s="86"/>
      <c r="P86" s="86"/>
      <c r="Q86" s="86"/>
      <c r="R86" s="86"/>
      <c r="S86" s="86"/>
      <c r="T86" s="86"/>
      <c r="U86" s="86"/>
      <c r="V86" s="86"/>
      <c r="W86" s="86"/>
      <c r="X86" s="86"/>
      <c r="Y86" s="86"/>
      <c r="Z86" s="86"/>
      <c r="AA86" s="86"/>
      <c r="AB86" s="86"/>
      <c r="AC86" s="86"/>
      <c r="AD86" s="86"/>
      <c r="AE86" s="86"/>
      <c r="AF86" s="86"/>
      <c r="AG86" s="86"/>
      <c r="AH86" s="86"/>
      <c r="AI86" s="86"/>
      <c r="AJ86" s="86"/>
      <c r="AK86" s="86"/>
      <c r="AL86" s="86"/>
      <c r="AM86" s="86"/>
      <c r="AN86" s="86"/>
      <c r="AO86" s="86"/>
      <c r="AP86" s="129"/>
      <c r="AQ86" s="129"/>
      <c r="AR86" s="129"/>
      <c r="AS86" s="129"/>
      <c r="AT86" s="129"/>
      <c r="AU86" s="86"/>
      <c r="AV86" s="86"/>
      <c r="AW86" s="86"/>
      <c r="AX86" s="86"/>
      <c r="AY86" s="86"/>
    </row>
    <row r="87" spans="1:51" x14ac:dyDescent="0.25">
      <c r="A87" s="86"/>
      <c r="B87" s="86"/>
      <c r="C87" s="86"/>
      <c r="D87" s="86"/>
      <c r="E87" s="86"/>
      <c r="F87" s="86"/>
      <c r="G87" s="86"/>
      <c r="H87" s="118" t="str">
        <f>Master_Table[[#This Row],[LES-Type]]&amp;"-"&amp;Master_Table[[#This Row],[Nominal CCT+CRI]]&amp;Master_Table[[#This Row],[Tech]]</f>
        <v>-</v>
      </c>
      <c r="I87"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87" s="118"/>
      <c r="K87" s="86"/>
      <c r="L87" s="86"/>
      <c r="M87" s="86"/>
      <c r="N87" s="94" t="e">
        <f>Master_Table[[#This Row],[Typical Lumens]]/(Master_Table[[#This Row],[Typical Voltage]]*Master_Table[[#This Row],[Typical Current]]/1000)</f>
        <v>#DIV/0!</v>
      </c>
      <c r="O87" s="86"/>
      <c r="P87" s="86"/>
      <c r="Q87" s="86"/>
      <c r="R87" s="86"/>
      <c r="S87" s="86"/>
      <c r="T87" s="86"/>
      <c r="U87" s="86"/>
      <c r="V87" s="86"/>
      <c r="W87" s="86"/>
      <c r="X87" s="86"/>
      <c r="Y87" s="86"/>
      <c r="Z87" s="86"/>
      <c r="AA87" s="86"/>
      <c r="AB87" s="86"/>
      <c r="AC87" s="86"/>
      <c r="AD87" s="86"/>
      <c r="AE87" s="86"/>
      <c r="AF87" s="86"/>
      <c r="AG87" s="86"/>
      <c r="AH87" s="86"/>
      <c r="AI87" s="86"/>
      <c r="AJ87" s="86"/>
      <c r="AK87" s="86"/>
      <c r="AL87" s="86"/>
      <c r="AM87" s="86"/>
      <c r="AN87" s="86"/>
      <c r="AO87" s="86"/>
      <c r="AP87" s="129"/>
      <c r="AQ87" s="129"/>
      <c r="AR87" s="129"/>
      <c r="AS87" s="129"/>
      <c r="AT87" s="129"/>
      <c r="AU87" s="86"/>
      <c r="AV87" s="86"/>
      <c r="AW87" s="86"/>
      <c r="AX87" s="86"/>
      <c r="AY87" s="86"/>
    </row>
    <row r="88" spans="1:51" x14ac:dyDescent="0.25">
      <c r="A88" s="86"/>
      <c r="B88" s="86"/>
      <c r="C88" s="86"/>
      <c r="D88" s="86"/>
      <c r="E88" s="86"/>
      <c r="F88" s="86"/>
      <c r="G88" s="86"/>
      <c r="H88" s="118" t="str">
        <f>Master_Table[[#This Row],[LES-Type]]&amp;"-"&amp;Master_Table[[#This Row],[Nominal CCT+CRI]]&amp;Master_Table[[#This Row],[Tech]]</f>
        <v>-</v>
      </c>
      <c r="I88"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88" s="118"/>
      <c r="K88" s="86"/>
      <c r="L88" s="86"/>
      <c r="M88" s="86"/>
      <c r="N88" s="94" t="e">
        <f>Master_Table[[#This Row],[Typical Lumens]]/(Master_Table[[#This Row],[Typical Voltage]]*Master_Table[[#This Row],[Typical Current]]/1000)</f>
        <v>#DIV/0!</v>
      </c>
      <c r="O88" s="86"/>
      <c r="P88" s="86"/>
      <c r="Q88" s="86"/>
      <c r="R88" s="86"/>
      <c r="S88" s="86"/>
      <c r="T88" s="86"/>
      <c r="U88" s="86"/>
      <c r="V88" s="86"/>
      <c r="W88" s="86"/>
      <c r="X88" s="86"/>
      <c r="Y88" s="86"/>
      <c r="Z88" s="86"/>
      <c r="AA88" s="86"/>
      <c r="AB88" s="86"/>
      <c r="AC88" s="86"/>
      <c r="AD88" s="86"/>
      <c r="AE88" s="86"/>
      <c r="AF88" s="86"/>
      <c r="AG88" s="86"/>
      <c r="AH88" s="86"/>
      <c r="AI88" s="86"/>
      <c r="AJ88" s="86"/>
      <c r="AK88" s="86"/>
      <c r="AL88" s="86"/>
      <c r="AM88" s="86"/>
      <c r="AN88" s="86"/>
      <c r="AO88" s="86"/>
      <c r="AP88" s="129"/>
      <c r="AQ88" s="129"/>
      <c r="AR88" s="129"/>
      <c r="AS88" s="129"/>
      <c r="AT88" s="129"/>
      <c r="AU88" s="86"/>
      <c r="AV88" s="86"/>
      <c r="AW88" s="86"/>
      <c r="AX88" s="86"/>
      <c r="AY88" s="86"/>
    </row>
    <row r="89" spans="1:51" x14ac:dyDescent="0.25">
      <c r="A89" s="86"/>
      <c r="B89" s="86"/>
      <c r="C89" s="86"/>
      <c r="D89" s="86"/>
      <c r="E89" s="86"/>
      <c r="F89" s="86"/>
      <c r="G89" s="86"/>
      <c r="H89" s="118" t="str">
        <f>Master_Table[[#This Row],[LES-Type]]&amp;"-"&amp;Master_Table[[#This Row],[Nominal CCT+CRI]]&amp;Master_Table[[#This Row],[Tech]]</f>
        <v>-</v>
      </c>
      <c r="I89"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89" s="118"/>
      <c r="K89" s="86"/>
      <c r="L89" s="86"/>
      <c r="M89" s="86"/>
      <c r="N89" s="94" t="e">
        <f>Master_Table[[#This Row],[Typical Lumens]]/(Master_Table[[#This Row],[Typical Voltage]]*Master_Table[[#This Row],[Typical Current]]/1000)</f>
        <v>#DIV/0!</v>
      </c>
      <c r="O89" s="86"/>
      <c r="P89" s="86"/>
      <c r="Q89" s="86"/>
      <c r="R89" s="86"/>
      <c r="S89" s="86"/>
      <c r="T89" s="86"/>
      <c r="U89" s="86"/>
      <c r="V89" s="86"/>
      <c r="W89" s="86"/>
      <c r="X89" s="86"/>
      <c r="Y89" s="86"/>
      <c r="Z89" s="86"/>
      <c r="AA89" s="86"/>
      <c r="AB89" s="86"/>
      <c r="AC89" s="86"/>
      <c r="AD89" s="86"/>
      <c r="AE89" s="86"/>
      <c r="AF89" s="86"/>
      <c r="AG89" s="86"/>
      <c r="AH89" s="86"/>
      <c r="AI89" s="86"/>
      <c r="AJ89" s="86"/>
      <c r="AK89" s="86"/>
      <c r="AL89" s="86"/>
      <c r="AM89" s="86"/>
      <c r="AN89" s="86"/>
      <c r="AO89" s="86"/>
      <c r="AP89" s="129"/>
      <c r="AQ89" s="129"/>
      <c r="AR89" s="129"/>
      <c r="AS89" s="129"/>
      <c r="AT89" s="129"/>
      <c r="AU89" s="86"/>
      <c r="AV89" s="86"/>
      <c r="AW89" s="86"/>
      <c r="AX89" s="86"/>
      <c r="AY89" s="86"/>
    </row>
    <row r="90" spans="1:51" x14ac:dyDescent="0.25">
      <c r="A90" s="86"/>
      <c r="B90" s="86"/>
      <c r="C90" s="86"/>
      <c r="D90" s="86"/>
      <c r="E90" s="86"/>
      <c r="F90" s="86"/>
      <c r="G90" s="86"/>
      <c r="H90" s="118" t="str">
        <f>Master_Table[[#This Row],[LES-Type]]&amp;"-"&amp;Master_Table[[#This Row],[Nominal CCT+CRI]]&amp;Master_Table[[#This Row],[Tech]]</f>
        <v>-</v>
      </c>
      <c r="I90"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90" s="118"/>
      <c r="K90" s="86"/>
      <c r="L90" s="86"/>
      <c r="M90" s="86"/>
      <c r="N90" s="94" t="e">
        <f>Master_Table[[#This Row],[Typical Lumens]]/(Master_Table[[#This Row],[Typical Voltage]]*Master_Table[[#This Row],[Typical Current]]/1000)</f>
        <v>#DIV/0!</v>
      </c>
      <c r="O90" s="86"/>
      <c r="P90" s="86"/>
      <c r="Q90" s="86"/>
      <c r="R90" s="86"/>
      <c r="S90" s="86"/>
      <c r="T90" s="86"/>
      <c r="U90" s="86"/>
      <c r="V90" s="86"/>
      <c r="W90" s="86"/>
      <c r="X90" s="86"/>
      <c r="Y90" s="86"/>
      <c r="Z90" s="86"/>
      <c r="AA90" s="86"/>
      <c r="AB90" s="86"/>
      <c r="AC90" s="86"/>
      <c r="AD90" s="86"/>
      <c r="AE90" s="86"/>
      <c r="AF90" s="86"/>
      <c r="AG90" s="86"/>
      <c r="AH90" s="86"/>
      <c r="AI90" s="86"/>
      <c r="AJ90" s="86"/>
      <c r="AK90" s="86"/>
      <c r="AL90" s="86"/>
      <c r="AM90" s="86"/>
      <c r="AN90" s="86"/>
      <c r="AO90" s="86"/>
      <c r="AP90" s="129"/>
      <c r="AQ90" s="129"/>
      <c r="AR90" s="129"/>
      <c r="AS90" s="129"/>
      <c r="AT90" s="129"/>
      <c r="AU90" s="86"/>
      <c r="AV90" s="86"/>
      <c r="AW90" s="86"/>
      <c r="AX90" s="86"/>
      <c r="AY90" s="86"/>
    </row>
    <row r="91" spans="1:51" x14ac:dyDescent="0.25">
      <c r="A91" s="86"/>
      <c r="B91" s="86"/>
      <c r="C91" s="86"/>
      <c r="D91" s="86"/>
      <c r="E91" s="86"/>
      <c r="F91" s="86"/>
      <c r="G91" s="86"/>
      <c r="H91" s="118" t="str">
        <f>Master_Table[[#This Row],[LES-Type]]&amp;"-"&amp;Master_Table[[#This Row],[Nominal CCT+CRI]]&amp;Master_Table[[#This Row],[Tech]]</f>
        <v>-</v>
      </c>
      <c r="I91"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91" s="118"/>
      <c r="K91" s="86"/>
      <c r="L91" s="86"/>
      <c r="M91" s="86"/>
      <c r="N91" s="94" t="e">
        <f>Master_Table[[#This Row],[Typical Lumens]]/(Master_Table[[#This Row],[Typical Voltage]]*Master_Table[[#This Row],[Typical Current]]/1000)</f>
        <v>#DIV/0!</v>
      </c>
      <c r="O91" s="86"/>
      <c r="P91" s="86"/>
      <c r="Q91" s="86"/>
      <c r="R91" s="86"/>
      <c r="S91" s="86"/>
      <c r="T91" s="86"/>
      <c r="U91" s="86"/>
      <c r="V91" s="86"/>
      <c r="W91" s="86"/>
      <c r="X91" s="86"/>
      <c r="Y91" s="86"/>
      <c r="Z91" s="86"/>
      <c r="AA91" s="86"/>
      <c r="AB91" s="86"/>
      <c r="AC91" s="86"/>
      <c r="AD91" s="86"/>
      <c r="AE91" s="86"/>
      <c r="AF91" s="86"/>
      <c r="AG91" s="86"/>
      <c r="AH91" s="86"/>
      <c r="AI91" s="86"/>
      <c r="AJ91" s="86"/>
      <c r="AK91" s="86"/>
      <c r="AL91" s="86"/>
      <c r="AM91" s="86"/>
      <c r="AN91" s="86"/>
      <c r="AO91" s="86"/>
      <c r="AP91" s="129"/>
      <c r="AQ91" s="129"/>
      <c r="AR91" s="129"/>
      <c r="AS91" s="129"/>
      <c r="AT91" s="129"/>
      <c r="AU91" s="86"/>
      <c r="AV91" s="86"/>
      <c r="AW91" s="86"/>
      <c r="AX91" s="86"/>
      <c r="AY91" s="86"/>
    </row>
    <row r="92" spans="1:51" x14ac:dyDescent="0.25">
      <c r="A92" s="86"/>
      <c r="B92" s="86"/>
      <c r="C92" s="86"/>
      <c r="D92" s="86"/>
      <c r="E92" s="86"/>
      <c r="F92" s="86"/>
      <c r="G92" s="86"/>
      <c r="H92" s="118" t="str">
        <f>Master_Table[[#This Row],[LES-Type]]&amp;"-"&amp;Master_Table[[#This Row],[Nominal CCT+CRI]]&amp;Master_Table[[#This Row],[Tech]]</f>
        <v>-</v>
      </c>
      <c r="I92"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92" s="118"/>
      <c r="K92" s="86"/>
      <c r="L92" s="86"/>
      <c r="M92" s="86"/>
      <c r="N92" s="94" t="e">
        <f>Master_Table[[#This Row],[Typical Lumens]]/(Master_Table[[#This Row],[Typical Voltage]]*Master_Table[[#This Row],[Typical Current]]/1000)</f>
        <v>#DIV/0!</v>
      </c>
      <c r="O92" s="86"/>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129"/>
      <c r="AQ92" s="129"/>
      <c r="AR92" s="129"/>
      <c r="AS92" s="129"/>
      <c r="AT92" s="129"/>
      <c r="AU92" s="86"/>
      <c r="AV92" s="86"/>
      <c r="AW92" s="86"/>
      <c r="AX92" s="86"/>
      <c r="AY92" s="86"/>
    </row>
    <row r="93" spans="1:51" x14ac:dyDescent="0.25">
      <c r="A93" s="86"/>
      <c r="B93" s="86"/>
      <c r="C93" s="86"/>
      <c r="D93" s="86"/>
      <c r="E93" s="86"/>
      <c r="F93" s="86"/>
      <c r="G93" s="86"/>
      <c r="H93" s="118" t="str">
        <f>Master_Table[[#This Row],[LES-Type]]&amp;"-"&amp;Master_Table[[#This Row],[Nominal CCT+CRI]]&amp;Master_Table[[#This Row],[Tech]]</f>
        <v>-</v>
      </c>
      <c r="I93"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93" s="118"/>
      <c r="K93" s="86"/>
      <c r="L93" s="86"/>
      <c r="M93" s="86"/>
      <c r="N93" s="94" t="e">
        <f>Master_Table[[#This Row],[Typical Lumens]]/(Master_Table[[#This Row],[Typical Voltage]]*Master_Table[[#This Row],[Typical Current]]/1000)</f>
        <v>#DIV/0!</v>
      </c>
      <c r="O93" s="86"/>
      <c r="P93" s="86"/>
      <c r="Q93" s="86"/>
      <c r="R93" s="86"/>
      <c r="S93" s="86"/>
      <c r="T93" s="86"/>
      <c r="U93" s="86"/>
      <c r="V93" s="86"/>
      <c r="W93" s="86"/>
      <c r="X93" s="86"/>
      <c r="Y93" s="86"/>
      <c r="Z93" s="86"/>
      <c r="AA93" s="86"/>
      <c r="AB93" s="86"/>
      <c r="AC93" s="86"/>
      <c r="AD93" s="86"/>
      <c r="AE93" s="86"/>
      <c r="AF93" s="86"/>
      <c r="AG93" s="86"/>
      <c r="AH93" s="86"/>
      <c r="AI93" s="86"/>
      <c r="AJ93" s="86"/>
      <c r="AK93" s="86"/>
      <c r="AL93" s="86"/>
      <c r="AM93" s="86"/>
      <c r="AN93" s="86"/>
      <c r="AO93" s="86"/>
      <c r="AP93" s="129"/>
      <c r="AQ93" s="129"/>
      <c r="AR93" s="129"/>
      <c r="AS93" s="129"/>
      <c r="AT93" s="129"/>
      <c r="AU93" s="86"/>
      <c r="AV93" s="86"/>
      <c r="AW93" s="86"/>
      <c r="AX93" s="86"/>
      <c r="AY93" s="86"/>
    </row>
    <row r="94" spans="1:51" x14ac:dyDescent="0.25">
      <c r="A94" s="86"/>
      <c r="B94" s="86"/>
      <c r="C94" s="86"/>
      <c r="D94" s="86"/>
      <c r="E94" s="86"/>
      <c r="F94" s="86"/>
      <c r="G94" s="86"/>
      <c r="H94" s="118" t="str">
        <f>Master_Table[[#This Row],[LES-Type]]&amp;"-"&amp;Master_Table[[#This Row],[Nominal CCT+CRI]]&amp;Master_Table[[#This Row],[Tech]]</f>
        <v>-</v>
      </c>
      <c r="I94"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94" s="118"/>
      <c r="K94" s="86"/>
      <c r="L94" s="86"/>
      <c r="M94" s="86"/>
      <c r="N94" s="94" t="e">
        <f>Master_Table[[#This Row],[Typical Lumens]]/(Master_Table[[#This Row],[Typical Voltage]]*Master_Table[[#This Row],[Typical Current]]/1000)</f>
        <v>#DIV/0!</v>
      </c>
      <c r="O94" s="86"/>
      <c r="P94" s="86"/>
      <c r="Q94" s="86"/>
      <c r="R94" s="86"/>
      <c r="S94" s="86"/>
      <c r="T94" s="86"/>
      <c r="U94" s="86"/>
      <c r="V94" s="86"/>
      <c r="W94" s="86"/>
      <c r="X94" s="86"/>
      <c r="Y94" s="86"/>
      <c r="Z94" s="86"/>
      <c r="AA94" s="86"/>
      <c r="AB94" s="86"/>
      <c r="AC94" s="86"/>
      <c r="AD94" s="86"/>
      <c r="AE94" s="86"/>
      <c r="AF94" s="86"/>
      <c r="AG94" s="86"/>
      <c r="AH94" s="86"/>
      <c r="AI94" s="86"/>
      <c r="AJ94" s="86"/>
      <c r="AK94" s="86"/>
      <c r="AL94" s="86"/>
      <c r="AM94" s="86"/>
      <c r="AN94" s="86"/>
      <c r="AO94" s="86"/>
      <c r="AP94" s="129"/>
      <c r="AQ94" s="129"/>
      <c r="AR94" s="129"/>
      <c r="AS94" s="129"/>
      <c r="AT94" s="129"/>
      <c r="AU94" s="86"/>
      <c r="AV94" s="86"/>
      <c r="AW94" s="86"/>
      <c r="AX94" s="86"/>
      <c r="AY94" s="86"/>
    </row>
    <row r="95" spans="1:51" x14ac:dyDescent="0.25">
      <c r="A95" s="86"/>
      <c r="B95" s="86"/>
      <c r="C95" s="86"/>
      <c r="D95" s="86"/>
      <c r="E95" s="86"/>
      <c r="F95" s="86"/>
      <c r="G95" s="86"/>
      <c r="H95" s="118" t="str">
        <f>Master_Table[[#This Row],[LES-Type]]&amp;"-"&amp;Master_Table[[#This Row],[Nominal CCT+CRI]]&amp;Master_Table[[#This Row],[Tech]]</f>
        <v>-</v>
      </c>
      <c r="I95"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95" s="118"/>
      <c r="K95" s="86"/>
      <c r="L95" s="86"/>
      <c r="M95" s="86"/>
      <c r="N95" s="94" t="e">
        <f>Master_Table[[#This Row],[Typical Lumens]]/(Master_Table[[#This Row],[Typical Voltage]]*Master_Table[[#This Row],[Typical Current]]/1000)</f>
        <v>#DIV/0!</v>
      </c>
      <c r="O95" s="86"/>
      <c r="P95" s="86"/>
      <c r="Q95" s="86"/>
      <c r="R95" s="86"/>
      <c r="S95" s="86"/>
      <c r="T95" s="86"/>
      <c r="U95" s="86"/>
      <c r="V95" s="86"/>
      <c r="W95" s="86"/>
      <c r="X95" s="86"/>
      <c r="Y95" s="86"/>
      <c r="Z95" s="86"/>
      <c r="AA95" s="86"/>
      <c r="AB95" s="86"/>
      <c r="AC95" s="86"/>
      <c r="AD95" s="86"/>
      <c r="AE95" s="86"/>
      <c r="AF95" s="86"/>
      <c r="AG95" s="86"/>
      <c r="AH95" s="86"/>
      <c r="AI95" s="86"/>
      <c r="AJ95" s="86"/>
      <c r="AK95" s="86"/>
      <c r="AL95" s="86"/>
      <c r="AM95" s="86"/>
      <c r="AN95" s="86"/>
      <c r="AO95" s="86"/>
      <c r="AP95" s="129"/>
      <c r="AQ95" s="129"/>
      <c r="AR95" s="129"/>
      <c r="AS95" s="129"/>
      <c r="AT95" s="129"/>
      <c r="AU95" s="86"/>
      <c r="AV95" s="86"/>
      <c r="AW95" s="86"/>
      <c r="AX95" s="86"/>
      <c r="AY95" s="86"/>
    </row>
    <row r="96" spans="1:51" x14ac:dyDescent="0.25">
      <c r="A96" s="86"/>
      <c r="B96" s="86"/>
      <c r="C96" s="86"/>
      <c r="D96" s="86"/>
      <c r="E96" s="86"/>
      <c r="F96" s="86"/>
      <c r="G96" s="86"/>
      <c r="H96" s="118" t="str">
        <f>Master_Table[[#This Row],[LES-Type]]&amp;"-"&amp;Master_Table[[#This Row],[Nominal CCT+CRI]]&amp;Master_Table[[#This Row],[Tech]]</f>
        <v>-</v>
      </c>
      <c r="I96"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96" s="118"/>
      <c r="K96" s="86"/>
      <c r="L96" s="86"/>
      <c r="M96" s="86"/>
      <c r="N96" s="94" t="e">
        <f>Master_Table[[#This Row],[Typical Lumens]]/(Master_Table[[#This Row],[Typical Voltage]]*Master_Table[[#This Row],[Typical Current]]/1000)</f>
        <v>#DIV/0!</v>
      </c>
      <c r="O96" s="86"/>
      <c r="P96" s="86"/>
      <c r="Q96" s="86"/>
      <c r="R96" s="86"/>
      <c r="S96" s="86"/>
      <c r="T96" s="86"/>
      <c r="U96" s="86"/>
      <c r="V96" s="86"/>
      <c r="W96" s="86"/>
      <c r="X96" s="86"/>
      <c r="Y96" s="86"/>
      <c r="Z96" s="86"/>
      <c r="AA96" s="86"/>
      <c r="AB96" s="86"/>
      <c r="AC96" s="86"/>
      <c r="AD96" s="86"/>
      <c r="AE96" s="86"/>
      <c r="AF96" s="86"/>
      <c r="AG96" s="86"/>
      <c r="AH96" s="86"/>
      <c r="AI96" s="86"/>
      <c r="AJ96" s="86"/>
      <c r="AK96" s="86"/>
      <c r="AL96" s="86"/>
      <c r="AM96" s="86"/>
      <c r="AN96" s="86"/>
      <c r="AO96" s="86"/>
      <c r="AP96" s="129"/>
      <c r="AQ96" s="129"/>
      <c r="AR96" s="129"/>
      <c r="AS96" s="129"/>
      <c r="AT96" s="129"/>
      <c r="AU96" s="86"/>
      <c r="AV96" s="86"/>
      <c r="AW96" s="86"/>
      <c r="AX96" s="86"/>
      <c r="AY96" s="86"/>
    </row>
    <row r="97" spans="1:51" x14ac:dyDescent="0.25">
      <c r="A97" s="86"/>
      <c r="B97" s="86"/>
      <c r="C97" s="86"/>
      <c r="D97" s="86"/>
      <c r="E97" s="86"/>
      <c r="F97" s="86"/>
      <c r="G97" s="86"/>
      <c r="H97" s="118" t="str">
        <f>Master_Table[[#This Row],[LES-Type]]&amp;"-"&amp;Master_Table[[#This Row],[Nominal CCT+CRI]]&amp;Master_Table[[#This Row],[Tech]]</f>
        <v>-</v>
      </c>
      <c r="I97"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97" s="118"/>
      <c r="K97" s="86"/>
      <c r="L97" s="86"/>
      <c r="M97" s="86"/>
      <c r="N97" s="94" t="e">
        <f>Master_Table[[#This Row],[Typical Lumens]]/(Master_Table[[#This Row],[Typical Voltage]]*Master_Table[[#This Row],[Typical Current]]/1000)</f>
        <v>#DIV/0!</v>
      </c>
      <c r="O97" s="86"/>
      <c r="P97" s="86"/>
      <c r="Q97" s="86"/>
      <c r="R97" s="86"/>
      <c r="S97" s="86"/>
      <c r="T97" s="86"/>
      <c r="U97" s="86"/>
      <c r="V97" s="86"/>
      <c r="W97" s="86"/>
      <c r="X97" s="86"/>
      <c r="Y97" s="86"/>
      <c r="Z97" s="86"/>
      <c r="AA97" s="86"/>
      <c r="AB97" s="86"/>
      <c r="AC97" s="86"/>
      <c r="AD97" s="86"/>
      <c r="AE97" s="86"/>
      <c r="AF97" s="86"/>
      <c r="AG97" s="86"/>
      <c r="AH97" s="86"/>
      <c r="AI97" s="86"/>
      <c r="AJ97" s="86"/>
      <c r="AK97" s="86"/>
      <c r="AL97" s="86"/>
      <c r="AM97" s="86"/>
      <c r="AN97" s="86"/>
      <c r="AO97" s="86"/>
      <c r="AP97" s="129"/>
      <c r="AQ97" s="129"/>
      <c r="AR97" s="129"/>
      <c r="AS97" s="129"/>
      <c r="AT97" s="129"/>
      <c r="AU97" s="86"/>
      <c r="AV97" s="86"/>
      <c r="AW97" s="86"/>
      <c r="AX97" s="86"/>
      <c r="AY97" s="86"/>
    </row>
    <row r="98" spans="1:51" x14ac:dyDescent="0.25">
      <c r="A98" s="86"/>
      <c r="B98" s="86"/>
      <c r="C98" s="86"/>
      <c r="D98" s="86"/>
      <c r="E98" s="86"/>
      <c r="F98" s="86"/>
      <c r="G98" s="86"/>
      <c r="H98" s="118" t="str">
        <f>Master_Table[[#This Row],[LES-Type]]&amp;"-"&amp;Master_Table[[#This Row],[Nominal CCT+CRI]]&amp;Master_Table[[#This Row],[Tech]]</f>
        <v>-</v>
      </c>
      <c r="I98"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98" s="118"/>
      <c r="K98" s="86"/>
      <c r="L98" s="86"/>
      <c r="M98" s="86"/>
      <c r="N98" s="94" t="e">
        <f>Master_Table[[#This Row],[Typical Lumens]]/(Master_Table[[#This Row],[Typical Voltage]]*Master_Table[[#This Row],[Typical Current]]/1000)</f>
        <v>#DIV/0!</v>
      </c>
      <c r="O98" s="86"/>
      <c r="P98" s="86"/>
      <c r="Q98" s="86"/>
      <c r="R98" s="86"/>
      <c r="S98" s="86"/>
      <c r="T98" s="86"/>
      <c r="U98" s="86"/>
      <c r="V98" s="86"/>
      <c r="W98" s="86"/>
      <c r="X98" s="86"/>
      <c r="Y98" s="86"/>
      <c r="Z98" s="86"/>
      <c r="AA98" s="86"/>
      <c r="AB98" s="86"/>
      <c r="AC98" s="86"/>
      <c r="AD98" s="86"/>
      <c r="AE98" s="86"/>
      <c r="AF98" s="86"/>
      <c r="AG98" s="86"/>
      <c r="AH98" s="86"/>
      <c r="AI98" s="86"/>
      <c r="AJ98" s="86"/>
      <c r="AK98" s="86"/>
      <c r="AL98" s="86"/>
      <c r="AM98" s="86"/>
      <c r="AN98" s="86"/>
      <c r="AO98" s="86"/>
      <c r="AP98" s="129"/>
      <c r="AQ98" s="129"/>
      <c r="AR98" s="129"/>
      <c r="AS98" s="129"/>
      <c r="AT98" s="129"/>
      <c r="AU98" s="86"/>
      <c r="AV98" s="86"/>
      <c r="AW98" s="86"/>
      <c r="AX98" s="86"/>
      <c r="AY98" s="86"/>
    </row>
    <row r="99" spans="1:51" x14ac:dyDescent="0.25">
      <c r="A99" s="86"/>
      <c r="B99" s="86"/>
      <c r="C99" s="86"/>
      <c r="D99" s="86"/>
      <c r="E99" s="86"/>
      <c r="F99" s="86"/>
      <c r="G99" s="86"/>
      <c r="H99" s="118" t="str">
        <f>Master_Table[[#This Row],[LES-Type]]&amp;"-"&amp;Master_Table[[#This Row],[Nominal CCT+CRI]]&amp;Master_Table[[#This Row],[Tech]]</f>
        <v>-</v>
      </c>
      <c r="I99"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99" s="118"/>
      <c r="K99" s="86"/>
      <c r="L99" s="86"/>
      <c r="M99" s="86"/>
      <c r="N99" s="94" t="e">
        <f>Master_Table[[#This Row],[Typical Lumens]]/(Master_Table[[#This Row],[Typical Voltage]]*Master_Table[[#This Row],[Typical Current]]/1000)</f>
        <v>#DIV/0!</v>
      </c>
      <c r="O99" s="86"/>
      <c r="P99" s="86"/>
      <c r="Q99" s="86"/>
      <c r="R99" s="86"/>
      <c r="S99" s="86"/>
      <c r="T99" s="86"/>
      <c r="U99" s="86"/>
      <c r="V99" s="86"/>
      <c r="W99" s="86"/>
      <c r="X99" s="86"/>
      <c r="Y99" s="86"/>
      <c r="Z99" s="86"/>
      <c r="AA99" s="86"/>
      <c r="AB99" s="86"/>
      <c r="AC99" s="86"/>
      <c r="AD99" s="86"/>
      <c r="AE99" s="86"/>
      <c r="AF99" s="86"/>
      <c r="AG99" s="86"/>
      <c r="AH99" s="86"/>
      <c r="AI99" s="86"/>
      <c r="AJ99" s="86"/>
      <c r="AK99" s="86"/>
      <c r="AL99" s="86"/>
      <c r="AM99" s="86"/>
      <c r="AN99" s="86"/>
      <c r="AO99" s="86"/>
      <c r="AP99" s="129"/>
      <c r="AQ99" s="129"/>
      <c r="AR99" s="129"/>
      <c r="AS99" s="129"/>
      <c r="AT99" s="129"/>
      <c r="AU99" s="86"/>
      <c r="AV99" s="86"/>
      <c r="AW99" s="86"/>
      <c r="AX99" s="86"/>
      <c r="AY99" s="86"/>
    </row>
    <row r="100" spans="1:51" x14ac:dyDescent="0.25">
      <c r="A100" s="86"/>
      <c r="B100" s="86"/>
      <c r="C100" s="86"/>
      <c r="D100" s="86"/>
      <c r="E100" s="86"/>
      <c r="F100" s="86"/>
      <c r="G100" s="86"/>
      <c r="H100" s="118" t="str">
        <f>Master_Table[[#This Row],[LES-Type]]&amp;"-"&amp;Master_Table[[#This Row],[Nominal CCT+CRI]]&amp;Master_Table[[#This Row],[Tech]]</f>
        <v>-</v>
      </c>
      <c r="I100"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100" s="118"/>
      <c r="K100" s="86"/>
      <c r="L100" s="86"/>
      <c r="M100" s="86"/>
      <c r="N100" s="94" t="e">
        <f>Master_Table[[#This Row],[Typical Lumens]]/(Master_Table[[#This Row],[Typical Voltage]]*Master_Table[[#This Row],[Typical Current]]/1000)</f>
        <v>#DIV/0!</v>
      </c>
      <c r="O100" s="86"/>
      <c r="P100" s="86"/>
      <c r="Q100" s="86"/>
      <c r="R100" s="86"/>
      <c r="S100" s="86"/>
      <c r="T100" s="86"/>
      <c r="U100" s="86"/>
      <c r="V100" s="86"/>
      <c r="W100" s="86"/>
      <c r="X100" s="86"/>
      <c r="Y100" s="86"/>
      <c r="Z100" s="86"/>
      <c r="AA100" s="86"/>
      <c r="AB100" s="86"/>
      <c r="AC100" s="86"/>
      <c r="AD100" s="86"/>
      <c r="AE100" s="86"/>
      <c r="AF100" s="86"/>
      <c r="AG100" s="86"/>
      <c r="AH100" s="86"/>
      <c r="AI100" s="86"/>
      <c r="AJ100" s="86"/>
      <c r="AK100" s="86"/>
      <c r="AL100" s="86"/>
      <c r="AM100" s="86"/>
      <c r="AN100" s="86"/>
      <c r="AO100" s="86"/>
      <c r="AP100" s="129"/>
      <c r="AQ100" s="129"/>
      <c r="AR100" s="129"/>
      <c r="AS100" s="129"/>
      <c r="AT100" s="129"/>
      <c r="AU100" s="86"/>
      <c r="AV100" s="86"/>
      <c r="AW100" s="86"/>
      <c r="AX100" s="86"/>
      <c r="AY100" s="86"/>
    </row>
    <row r="101" spans="1:51" x14ac:dyDescent="0.25">
      <c r="A101" s="86"/>
      <c r="B101" s="86"/>
      <c r="C101" s="86"/>
      <c r="D101" s="86"/>
      <c r="E101" s="86"/>
      <c r="F101" s="86"/>
      <c r="G101" s="86"/>
      <c r="H101" s="118" t="str">
        <f>Master_Table[[#This Row],[LES-Type]]&amp;"-"&amp;Master_Table[[#This Row],[Nominal CCT+CRI]]&amp;Master_Table[[#This Row],[Tech]]</f>
        <v>-</v>
      </c>
      <c r="I101"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101" s="118"/>
      <c r="K101" s="86"/>
      <c r="L101" s="86"/>
      <c r="M101" s="86"/>
      <c r="N101" s="94" t="e">
        <f>Master_Table[[#This Row],[Typical Lumens]]/(Master_Table[[#This Row],[Typical Voltage]]*Master_Table[[#This Row],[Typical Current]]/1000)</f>
        <v>#DIV/0!</v>
      </c>
      <c r="O101" s="86"/>
      <c r="P101" s="86"/>
      <c r="Q101" s="86"/>
      <c r="R101" s="86"/>
      <c r="S101" s="86"/>
      <c r="T101" s="86"/>
      <c r="U101" s="86"/>
      <c r="V101" s="86"/>
      <c r="W101" s="86"/>
      <c r="X101" s="86"/>
      <c r="Y101" s="86"/>
      <c r="Z101" s="86"/>
      <c r="AA101" s="86"/>
      <c r="AB101" s="86"/>
      <c r="AC101" s="86"/>
      <c r="AD101" s="86"/>
      <c r="AE101" s="86"/>
      <c r="AF101" s="86"/>
      <c r="AG101" s="86"/>
      <c r="AH101" s="86"/>
      <c r="AI101" s="86"/>
      <c r="AJ101" s="86"/>
      <c r="AK101" s="86"/>
      <c r="AL101" s="86"/>
      <c r="AM101" s="86"/>
      <c r="AN101" s="86"/>
      <c r="AO101" s="86"/>
      <c r="AP101" s="129"/>
      <c r="AQ101" s="129"/>
      <c r="AR101" s="129"/>
      <c r="AS101" s="129"/>
      <c r="AT101" s="129"/>
      <c r="AU101" s="86"/>
      <c r="AV101" s="86"/>
      <c r="AW101" s="86"/>
      <c r="AX101" s="86"/>
      <c r="AY101" s="86"/>
    </row>
    <row r="102" spans="1:51" x14ac:dyDescent="0.25">
      <c r="A102" s="86"/>
      <c r="B102" s="86"/>
      <c r="C102" s="86"/>
      <c r="D102" s="86"/>
      <c r="E102" s="86"/>
      <c r="F102" s="86"/>
      <c r="G102" s="86"/>
      <c r="H102" s="118" t="str">
        <f>Master_Table[[#This Row],[LES-Type]]&amp;"-"&amp;Master_Table[[#This Row],[Nominal CCT+CRI]]&amp;Master_Table[[#This Row],[Tech]]</f>
        <v>-</v>
      </c>
      <c r="I102"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102" s="118"/>
      <c r="K102" s="86"/>
      <c r="L102" s="86"/>
      <c r="M102" s="86"/>
      <c r="N102" s="94" t="e">
        <f>Master_Table[[#This Row],[Typical Lumens]]/(Master_Table[[#This Row],[Typical Voltage]]*Master_Table[[#This Row],[Typical Current]]/1000)</f>
        <v>#DIV/0!</v>
      </c>
      <c r="O102" s="86"/>
      <c r="P102" s="86"/>
      <c r="Q102" s="86"/>
      <c r="R102" s="86"/>
      <c r="S102" s="86"/>
      <c r="T102" s="86"/>
      <c r="U102" s="86"/>
      <c r="V102" s="86"/>
      <c r="W102" s="86"/>
      <c r="X102" s="86"/>
      <c r="Y102" s="86"/>
      <c r="Z102" s="86"/>
      <c r="AA102" s="86"/>
      <c r="AB102" s="86"/>
      <c r="AC102" s="86"/>
      <c r="AD102" s="86"/>
      <c r="AE102" s="86"/>
      <c r="AF102" s="86"/>
      <c r="AG102" s="86"/>
      <c r="AH102" s="86"/>
      <c r="AI102" s="86"/>
      <c r="AJ102" s="86"/>
      <c r="AK102" s="86"/>
      <c r="AL102" s="86"/>
      <c r="AM102" s="86"/>
      <c r="AN102" s="86"/>
      <c r="AO102" s="86"/>
      <c r="AP102" s="129"/>
      <c r="AQ102" s="129"/>
      <c r="AR102" s="129"/>
      <c r="AS102" s="129"/>
      <c r="AT102" s="129"/>
      <c r="AU102" s="86"/>
      <c r="AV102" s="86"/>
      <c r="AW102" s="86"/>
      <c r="AX102" s="86"/>
      <c r="AY102" s="86"/>
    </row>
    <row r="103" spans="1:51" x14ac:dyDescent="0.25">
      <c r="A103" s="86"/>
      <c r="B103" s="86"/>
      <c r="C103" s="86"/>
      <c r="D103" s="86"/>
      <c r="E103" s="86"/>
      <c r="F103" s="86"/>
      <c r="G103" s="86"/>
      <c r="H103" s="118" t="str">
        <f>Master_Table[[#This Row],[LES-Type]]&amp;"-"&amp;Master_Table[[#This Row],[Nominal CCT+CRI]]&amp;Master_Table[[#This Row],[Tech]]</f>
        <v>-</v>
      </c>
      <c r="I103"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103" s="118"/>
      <c r="K103" s="86"/>
      <c r="L103" s="86"/>
      <c r="M103" s="86"/>
      <c r="N103" s="94" t="e">
        <f>Master_Table[[#This Row],[Typical Lumens]]/(Master_Table[[#This Row],[Typical Voltage]]*Master_Table[[#This Row],[Typical Current]]/1000)</f>
        <v>#DIV/0!</v>
      </c>
      <c r="O103" s="86"/>
      <c r="P103" s="86"/>
      <c r="Q103" s="86"/>
      <c r="R103" s="86"/>
      <c r="S103" s="86"/>
      <c r="T103" s="86"/>
      <c r="U103" s="86"/>
      <c r="V103" s="86"/>
      <c r="W103" s="86"/>
      <c r="X103" s="86"/>
      <c r="Y103" s="86"/>
      <c r="Z103" s="86"/>
      <c r="AA103" s="86"/>
      <c r="AB103" s="86"/>
      <c r="AC103" s="86"/>
      <c r="AD103" s="86"/>
      <c r="AE103" s="86"/>
      <c r="AF103" s="86"/>
      <c r="AG103" s="86"/>
      <c r="AH103" s="86"/>
      <c r="AI103" s="86"/>
      <c r="AJ103" s="86"/>
      <c r="AK103" s="86"/>
      <c r="AL103" s="86"/>
      <c r="AM103" s="86"/>
      <c r="AN103" s="86"/>
      <c r="AO103" s="86"/>
      <c r="AP103" s="129"/>
      <c r="AQ103" s="129"/>
      <c r="AR103" s="129"/>
      <c r="AS103" s="129"/>
      <c r="AT103" s="129"/>
      <c r="AU103" s="86"/>
      <c r="AV103" s="86"/>
      <c r="AW103" s="86"/>
      <c r="AX103" s="86"/>
      <c r="AY103" s="86"/>
    </row>
    <row r="104" spans="1:51" x14ac:dyDescent="0.25">
      <c r="A104" s="86"/>
      <c r="B104" s="86"/>
      <c r="C104" s="86"/>
      <c r="D104" s="86"/>
      <c r="E104" s="86"/>
      <c r="F104" s="86"/>
      <c r="G104" s="86"/>
      <c r="H104" s="118" t="str">
        <f>Master_Table[[#This Row],[LES-Type]]&amp;"-"&amp;Master_Table[[#This Row],[Nominal CCT+CRI]]&amp;Master_Table[[#This Row],[Tech]]</f>
        <v>-</v>
      </c>
      <c r="I104" s="118" t="str">
        <f>Master_Table[[#This Row],[Product Family]]&amp;"-"&amp;Master_Table[[#This Row],[Tunable White Array]]&amp;"-"&amp;Master_Table[[#This Row],[Nominal CCT+CRI]]&amp;"-"&amp;IF(Master_Table[[#This Row],[Lumen Family]]&lt;999,"0"&amp;Master_Table[[#This Row],[Lumen Family]],Master_Table[[#This Row],[Lumen Family]])&amp;"-"&amp;Master_Table[[#This Row],[Generation]]&amp;"-13"</f>
        <v>---0--13</v>
      </c>
      <c r="J104" s="118"/>
      <c r="K104" s="86"/>
      <c r="L104" s="86"/>
      <c r="M104" s="86"/>
      <c r="N104" s="94" t="e">
        <f>Master_Table[[#This Row],[Typical Lumens]]/(Master_Table[[#This Row],[Typical Voltage]]*Master_Table[[#This Row],[Typical Current]]/1000)</f>
        <v>#DIV/0!</v>
      </c>
      <c r="O104" s="86"/>
      <c r="P104" s="86"/>
      <c r="Q104" s="86"/>
      <c r="R104" s="86"/>
      <c r="S104" s="86"/>
      <c r="T104" s="86"/>
      <c r="U104" s="86"/>
      <c r="V104" s="86"/>
      <c r="W104" s="86"/>
      <c r="X104" s="86"/>
      <c r="Y104" s="86"/>
      <c r="Z104" s="86"/>
      <c r="AA104" s="86"/>
      <c r="AB104" s="86"/>
      <c r="AC104" s="86"/>
      <c r="AD104" s="86"/>
      <c r="AE104" s="86"/>
      <c r="AF104" s="86"/>
      <c r="AG104" s="86"/>
      <c r="AH104" s="86"/>
      <c r="AI104" s="86"/>
      <c r="AJ104" s="86"/>
      <c r="AK104" s="86"/>
      <c r="AL104" s="86"/>
      <c r="AM104" s="86"/>
      <c r="AN104" s="86"/>
      <c r="AO104" s="86"/>
      <c r="AP104" s="129"/>
      <c r="AQ104" s="129"/>
      <c r="AR104" s="129"/>
      <c r="AS104" s="129"/>
      <c r="AT104" s="129"/>
      <c r="AU104" s="86"/>
      <c r="AV104" s="86"/>
      <c r="AW104" s="86"/>
      <c r="AX104" s="86"/>
      <c r="AY104" s="86"/>
    </row>
  </sheetData>
  <mergeCells count="14">
    <mergeCell ref="AP3:AT3"/>
    <mergeCell ref="AU3:AY3"/>
    <mergeCell ref="M3:P3"/>
    <mergeCell ref="M2:P2"/>
    <mergeCell ref="K3:L3"/>
    <mergeCell ref="AF3:AJ3"/>
    <mergeCell ref="AF2:AJ2"/>
    <mergeCell ref="AA3:AE3"/>
    <mergeCell ref="V3:Z3"/>
    <mergeCell ref="Q3:U3"/>
    <mergeCell ref="Q2:U2"/>
    <mergeCell ref="V2:Z2"/>
    <mergeCell ref="AA2:AE2"/>
    <mergeCell ref="AK3:AO3"/>
  </mergeCells>
  <phoneticPr fontId="61" type="noConversion"/>
  <pageMargins left="0.7" right="0.7" top="0.75" bottom="0.75" header="0.3" footer="0.3"/>
  <pageSetup orientation="portrait" horizontalDpi="360" verticalDpi="36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L6"/>
  <sheetViews>
    <sheetView workbookViewId="0">
      <selection activeCell="D4" sqref="D4"/>
    </sheetView>
  </sheetViews>
  <sheetFormatPr defaultRowHeight="15.75" x14ac:dyDescent="0.25"/>
  <cols>
    <col min="2" max="2" width="18.5703125" bestFit="1" customWidth="1"/>
    <col min="3" max="3" width="12.5703125" customWidth="1"/>
    <col min="4" max="4" width="12" customWidth="1"/>
    <col min="5" max="5" width="13.140625" bestFit="1" customWidth="1"/>
    <col min="6" max="7" width="14" customWidth="1"/>
    <col min="8" max="12" width="13.28515625" bestFit="1" customWidth="1"/>
  </cols>
  <sheetData>
    <row r="1" spans="2:12" ht="16.5" thickBot="1" x14ac:dyDescent="0.3">
      <c r="C1" s="86"/>
      <c r="D1" s="86"/>
      <c r="E1" s="86"/>
      <c r="F1" s="86"/>
      <c r="G1" s="86"/>
      <c r="H1" s="86"/>
      <c r="I1" s="86"/>
      <c r="J1" s="86"/>
      <c r="K1" s="86"/>
      <c r="L1" s="86"/>
    </row>
    <row r="2" spans="2:12" ht="16.5" thickBot="1" x14ac:dyDescent="0.3">
      <c r="B2" s="232" t="s">
        <v>39</v>
      </c>
      <c r="C2" s="98" t="s">
        <v>53</v>
      </c>
      <c r="D2" s="86" t="s">
        <v>114</v>
      </c>
      <c r="E2" s="86" t="s">
        <v>116</v>
      </c>
      <c r="F2" s="86"/>
      <c r="G2" s="86"/>
      <c r="H2" s="86"/>
      <c r="I2" s="86"/>
      <c r="J2" s="86"/>
      <c r="K2" s="86"/>
      <c r="L2" s="86"/>
    </row>
    <row r="3" spans="2:12" x14ac:dyDescent="0.25">
      <c r="B3" s="3" t="s">
        <v>91</v>
      </c>
      <c r="C3" s="93" t="s">
        <v>92</v>
      </c>
      <c r="D3" s="86">
        <v>1800</v>
      </c>
      <c r="E3" s="86">
        <v>2700</v>
      </c>
      <c r="F3" s="86"/>
      <c r="G3" s="86"/>
      <c r="H3" s="86"/>
      <c r="I3" s="86"/>
      <c r="J3" s="86"/>
      <c r="K3" s="86"/>
      <c r="L3" s="86"/>
    </row>
    <row r="4" spans="2:12" x14ac:dyDescent="0.25">
      <c r="B4" s="3" t="s">
        <v>93</v>
      </c>
      <c r="C4" s="91" t="s">
        <v>94</v>
      </c>
      <c r="D4" s="190">
        <v>1800</v>
      </c>
      <c r="E4" s="190">
        <v>2700</v>
      </c>
    </row>
    <row r="5" spans="2:12" x14ac:dyDescent="0.25">
      <c r="B5" s="3" t="s">
        <v>52</v>
      </c>
      <c r="C5" s="92" t="s">
        <v>44</v>
      </c>
      <c r="D5" s="190">
        <v>1800</v>
      </c>
      <c r="E5" s="190">
        <v>3000</v>
      </c>
    </row>
    <row r="6" spans="2:12" x14ac:dyDescent="0.25">
      <c r="B6" s="3" t="s">
        <v>95</v>
      </c>
      <c r="C6" s="91" t="s">
        <v>96</v>
      </c>
      <c r="D6" s="190">
        <v>1800</v>
      </c>
      <c r="E6" s="190">
        <v>3000</v>
      </c>
    </row>
  </sheetData>
  <phoneticPr fontId="61" type="noConversion"/>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User Guide</vt:lpstr>
      <vt:lpstr>Simulator</vt:lpstr>
      <vt:lpstr>Calculations</vt:lpstr>
      <vt:lpstr>Master Table - Current Input</vt:lpstr>
      <vt:lpstr>Lumen Ratio Tables</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Brandon  Brooks</dc:creator>
  <cp:lastModifiedBy>Windows 使用者</cp:lastModifiedBy>
  <dcterms:created xsi:type="dcterms:W3CDTF">2020-06-14T16:30:15Z</dcterms:created>
  <dcterms:modified xsi:type="dcterms:W3CDTF">2021-04-10T08:38:52Z</dcterms:modified>
</cp:coreProperties>
</file>